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2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ryan\Documents\LWVC\Board Meetings\2022 December\"/>
    </mc:Choice>
  </mc:AlternateContent>
  <xr:revisionPtr revIDLastSave="0" documentId="8_{27AD0C63-3996-4A50-A5EA-8BA2FCD7FFF8}" xr6:coauthVersionLast="47" xr6:coauthVersionMax="47" xr10:uidLastSave="{00000000-0000-0000-0000-000000000000}"/>
  <bookViews>
    <workbookView xWindow="5580" yWindow="2580" windowWidth="21600" windowHeight="12480" tabRatio="955" xr2:uid="{00000000-000D-0000-FFFF-FFFF00000000}"/>
  </bookViews>
  <sheets>
    <sheet name="StmtofFinancialPosition" sheetId="3" r:id="rId1"/>
    <sheet name="Stmt.ofActivitieswBudge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G8" i="5"/>
  <c r="T8" i="5"/>
  <c r="AJ8" i="5" s="1"/>
  <c r="AL8" i="5" s="1"/>
  <c r="U8" i="5"/>
  <c r="AB8" i="5"/>
  <c r="AC8" i="5"/>
  <c r="AH8" i="5"/>
  <c r="AI8" i="5"/>
  <c r="B9" i="5"/>
  <c r="C9" i="5"/>
  <c r="F9" i="5"/>
  <c r="G9" i="5"/>
  <c r="T9" i="5"/>
  <c r="U9" i="5"/>
  <c r="AB9" i="5"/>
  <c r="AC9" i="5"/>
  <c r="AH9" i="5"/>
  <c r="AI9" i="5"/>
  <c r="AJ9" i="5"/>
  <c r="AK9" i="5"/>
  <c r="B10" i="5"/>
  <c r="C10" i="5"/>
  <c r="F10" i="5"/>
  <c r="G10" i="5"/>
  <c r="T10" i="5"/>
  <c r="AJ10" i="5" s="1"/>
  <c r="AL10" i="5" s="1"/>
  <c r="U10" i="5"/>
  <c r="AK10" i="5" s="1"/>
  <c r="AM10" i="5" s="1"/>
  <c r="AB10" i="5"/>
  <c r="AC10" i="5"/>
  <c r="AH10" i="5"/>
  <c r="AI10" i="5"/>
  <c r="B11" i="5"/>
  <c r="C11" i="5"/>
  <c r="G11" i="5" s="1"/>
  <c r="F11" i="5"/>
  <c r="T11" i="5"/>
  <c r="U11" i="5"/>
  <c r="AB11" i="5"/>
  <c r="AC11" i="5"/>
  <c r="AH11" i="5"/>
  <c r="AI11" i="5"/>
  <c r="B12" i="5"/>
  <c r="D12" i="5"/>
  <c r="E12" i="5"/>
  <c r="H12" i="5"/>
  <c r="I12" i="5"/>
  <c r="J12" i="5"/>
  <c r="K12" i="5"/>
  <c r="L12" i="5"/>
  <c r="M12" i="5"/>
  <c r="N12" i="5"/>
  <c r="O12" i="5"/>
  <c r="P12" i="5"/>
  <c r="Q12" i="5"/>
  <c r="R12" i="5"/>
  <c r="S12" i="5"/>
  <c r="V12" i="5"/>
  <c r="W12" i="5"/>
  <c r="X12" i="5"/>
  <c r="Y12" i="5"/>
  <c r="Z12" i="5"/>
  <c r="AA12" i="5"/>
  <c r="AD12" i="5"/>
  <c r="AH12" i="5" s="1"/>
  <c r="AE12" i="5"/>
  <c r="AI12" i="5" s="1"/>
  <c r="AF12" i="5"/>
  <c r="AG12" i="5"/>
  <c r="F13" i="5"/>
  <c r="G13" i="5"/>
  <c r="T13" i="5"/>
  <c r="U13" i="5"/>
  <c r="AB13" i="5"/>
  <c r="AC13" i="5"/>
  <c r="AH13" i="5"/>
  <c r="AI13" i="5"/>
  <c r="F14" i="5"/>
  <c r="G14" i="5"/>
  <c r="H14" i="5"/>
  <c r="I14" i="5"/>
  <c r="T14" i="5"/>
  <c r="U14" i="5"/>
  <c r="W14" i="5"/>
  <c r="AB14" i="5"/>
  <c r="AC14" i="5"/>
  <c r="AH14" i="5"/>
  <c r="AI14" i="5"/>
  <c r="F15" i="5"/>
  <c r="G15" i="5"/>
  <c r="T15" i="5"/>
  <c r="U15" i="5"/>
  <c r="AB15" i="5"/>
  <c r="AC15" i="5"/>
  <c r="AF15" i="5"/>
  <c r="AH15" i="5" s="1"/>
  <c r="AJ15" i="5" s="1"/>
  <c r="AG15" i="5"/>
  <c r="AI15" i="5" s="1"/>
  <c r="F16" i="5"/>
  <c r="G16" i="5"/>
  <c r="T16" i="5"/>
  <c r="AJ16" i="5" s="1"/>
  <c r="U16" i="5"/>
  <c r="AA16" i="5"/>
  <c r="AC16" i="5" s="1"/>
  <c r="AB16" i="5"/>
  <c r="AH16" i="5"/>
  <c r="AI16" i="5"/>
  <c r="AK16" i="5"/>
  <c r="F17" i="5"/>
  <c r="G17" i="5"/>
  <c r="I17" i="5"/>
  <c r="T17" i="5"/>
  <c r="U17" i="5"/>
  <c r="AB17" i="5"/>
  <c r="AC17" i="5"/>
  <c r="AH17" i="5"/>
  <c r="AI17" i="5"/>
  <c r="B18" i="5"/>
  <c r="C18" i="5"/>
  <c r="D18" i="5"/>
  <c r="E18" i="5"/>
  <c r="G18" i="5"/>
  <c r="H18" i="5"/>
  <c r="I18" i="5"/>
  <c r="J18" i="5"/>
  <c r="K18" i="5"/>
  <c r="L18" i="5"/>
  <c r="M18" i="5"/>
  <c r="N18" i="5"/>
  <c r="O18" i="5"/>
  <c r="P18" i="5"/>
  <c r="Q18" i="5"/>
  <c r="Q36" i="5" s="1"/>
  <c r="Q41" i="5" s="1"/>
  <c r="R18" i="5"/>
  <c r="S18" i="5"/>
  <c r="V18" i="5"/>
  <c r="X18" i="5"/>
  <c r="AB18" i="5" s="1"/>
  <c r="Y18" i="5"/>
  <c r="Z18" i="5"/>
  <c r="AD18" i="5"/>
  <c r="AH18" i="5" s="1"/>
  <c r="AE18" i="5"/>
  <c r="AF18" i="5"/>
  <c r="AF36" i="5" s="1"/>
  <c r="AF41" i="5" s="1"/>
  <c r="F19" i="5"/>
  <c r="G19" i="5"/>
  <c r="T19" i="5"/>
  <c r="U19" i="5"/>
  <c r="AK19" i="5" s="1"/>
  <c r="AB19" i="5"/>
  <c r="AC19" i="5"/>
  <c r="AH19" i="5"/>
  <c r="AI19" i="5"/>
  <c r="F20" i="5"/>
  <c r="G20" i="5"/>
  <c r="H20" i="5"/>
  <c r="I20" i="5"/>
  <c r="T20" i="5"/>
  <c r="AJ20" i="5" s="1"/>
  <c r="AL20" i="5" s="1"/>
  <c r="U20" i="5"/>
  <c r="AB20" i="5"/>
  <c r="AC20" i="5"/>
  <c r="AH20" i="5"/>
  <c r="AI20" i="5"/>
  <c r="F21" i="5"/>
  <c r="G21" i="5"/>
  <c r="H21" i="5"/>
  <c r="T21" i="5"/>
  <c r="U21" i="5"/>
  <c r="AB21" i="5"/>
  <c r="AC21" i="5"/>
  <c r="AH21" i="5"/>
  <c r="AI21" i="5"/>
  <c r="C22" i="5"/>
  <c r="C30" i="5" s="1"/>
  <c r="F22" i="5"/>
  <c r="T22" i="5"/>
  <c r="U22" i="5"/>
  <c r="AB22" i="5"/>
  <c r="AC22" i="5"/>
  <c r="AH22" i="5"/>
  <c r="AI22" i="5"/>
  <c r="AK22" i="5"/>
  <c r="F23" i="5"/>
  <c r="G23" i="5"/>
  <c r="T23" i="5"/>
  <c r="U23" i="5"/>
  <c r="AA23" i="5"/>
  <c r="AB23" i="5"/>
  <c r="AC23" i="5"/>
  <c r="AE23" i="5"/>
  <c r="AI23" i="5" s="1"/>
  <c r="AH23" i="5"/>
  <c r="F24" i="5"/>
  <c r="G24" i="5"/>
  <c r="T24" i="5"/>
  <c r="U24" i="5"/>
  <c r="W24" i="5"/>
  <c r="AB24" i="5"/>
  <c r="AC24" i="5"/>
  <c r="AH24" i="5"/>
  <c r="AI24" i="5"/>
  <c r="F25" i="5"/>
  <c r="G25" i="5"/>
  <c r="T25" i="5"/>
  <c r="U25" i="5"/>
  <c r="AK25" i="5" s="1"/>
  <c r="AM25" i="5" s="1"/>
  <c r="AB25" i="5"/>
  <c r="AC25" i="5"/>
  <c r="AH25" i="5"/>
  <c r="AI25" i="5"/>
  <c r="F26" i="5"/>
  <c r="G26" i="5"/>
  <c r="T26" i="5"/>
  <c r="U26" i="5"/>
  <c r="Z26" i="5"/>
  <c r="Z29" i="5" s="1"/>
  <c r="Z30" i="5" s="1"/>
  <c r="AA26" i="5"/>
  <c r="AC26" i="5"/>
  <c r="AH26" i="5"/>
  <c r="AI26" i="5"/>
  <c r="F27" i="5"/>
  <c r="G27" i="5"/>
  <c r="T27" i="5"/>
  <c r="U27" i="5"/>
  <c r="Z27" i="5"/>
  <c r="AB27" i="5" s="1"/>
  <c r="AJ27" i="5" s="1"/>
  <c r="AA27" i="5"/>
  <c r="AC27" i="5"/>
  <c r="AH27" i="5"/>
  <c r="AI27" i="5"/>
  <c r="F28" i="5"/>
  <c r="G28" i="5"/>
  <c r="I28" i="5"/>
  <c r="I29" i="5" s="1"/>
  <c r="I30" i="5" s="1"/>
  <c r="T28" i="5"/>
  <c r="U28" i="5"/>
  <c r="AK28" i="5" s="1"/>
  <c r="AB28" i="5"/>
  <c r="AC28" i="5"/>
  <c r="AH28" i="5"/>
  <c r="AI28" i="5"/>
  <c r="B29" i="5"/>
  <c r="C29" i="5"/>
  <c r="D29" i="5"/>
  <c r="E29" i="5"/>
  <c r="E30" i="5" s="1"/>
  <c r="E36" i="5" s="1"/>
  <c r="E41" i="5" s="1"/>
  <c r="F29" i="5"/>
  <c r="G29" i="5"/>
  <c r="H29" i="5"/>
  <c r="J29" i="5"/>
  <c r="K29" i="5"/>
  <c r="L29" i="5"/>
  <c r="M29" i="5"/>
  <c r="M30" i="5" s="1"/>
  <c r="N29" i="5"/>
  <c r="O29" i="5"/>
  <c r="O30" i="5" s="1"/>
  <c r="P29" i="5"/>
  <c r="P30" i="5" s="1"/>
  <c r="P36" i="5" s="1"/>
  <c r="P41" i="5" s="1"/>
  <c r="Q29" i="5"/>
  <c r="R29" i="5"/>
  <c r="S29" i="5"/>
  <c r="V29" i="5"/>
  <c r="V30" i="5" s="1"/>
  <c r="W29" i="5"/>
  <c r="X29" i="5"/>
  <c r="Y29" i="5"/>
  <c r="Y30" i="5" s="1"/>
  <c r="Y36" i="5" s="1"/>
  <c r="AD29" i="5"/>
  <c r="AH29" i="5" s="1"/>
  <c r="AE29" i="5"/>
  <c r="AF29" i="5"/>
  <c r="AF30" i="5" s="1"/>
  <c r="AG29" i="5"/>
  <c r="B30" i="5"/>
  <c r="D30" i="5"/>
  <c r="J30" i="5"/>
  <c r="K30" i="5"/>
  <c r="L30" i="5"/>
  <c r="Q30" i="5"/>
  <c r="R30" i="5"/>
  <c r="S30" i="5"/>
  <c r="AG30" i="5"/>
  <c r="B31" i="5"/>
  <c r="C31" i="5"/>
  <c r="G31" i="5" s="1"/>
  <c r="F31" i="5"/>
  <c r="AL31" i="5" s="1"/>
  <c r="T31" i="5"/>
  <c r="U31" i="5"/>
  <c r="AB31" i="5"/>
  <c r="AC31" i="5"/>
  <c r="AH31" i="5"/>
  <c r="AI31" i="5"/>
  <c r="AJ31" i="5"/>
  <c r="B32" i="5"/>
  <c r="F32" i="5" s="1"/>
  <c r="C32" i="5"/>
  <c r="G32" i="5"/>
  <c r="T32" i="5"/>
  <c r="U32" i="5"/>
  <c r="AB32" i="5"/>
  <c r="AC32" i="5"/>
  <c r="AH32" i="5"/>
  <c r="AI32" i="5"/>
  <c r="AK32" i="5"/>
  <c r="F33" i="5"/>
  <c r="G33" i="5"/>
  <c r="T33" i="5"/>
  <c r="U33" i="5"/>
  <c r="AB33" i="5"/>
  <c r="AC33" i="5"/>
  <c r="AH33" i="5"/>
  <c r="AI33" i="5"/>
  <c r="F34" i="5"/>
  <c r="G34" i="5"/>
  <c r="H34" i="5"/>
  <c r="H35" i="5" s="1"/>
  <c r="T34" i="5"/>
  <c r="AJ34" i="5" s="1"/>
  <c r="U34" i="5"/>
  <c r="AK34" i="5" s="1"/>
  <c r="AB34" i="5"/>
  <c r="AC34" i="5"/>
  <c r="AH34" i="5"/>
  <c r="AI34" i="5"/>
  <c r="B35" i="5"/>
  <c r="F35" i="5" s="1"/>
  <c r="C35" i="5"/>
  <c r="G35" i="5" s="1"/>
  <c r="D35" i="5"/>
  <c r="D36" i="5" s="1"/>
  <c r="D41" i="5" s="1"/>
  <c r="E35" i="5"/>
  <c r="I35" i="5"/>
  <c r="J35" i="5"/>
  <c r="K35" i="5"/>
  <c r="L35" i="5"/>
  <c r="M35" i="5"/>
  <c r="N35" i="5"/>
  <c r="O35" i="5"/>
  <c r="P35" i="5"/>
  <c r="Q35" i="5"/>
  <c r="R35" i="5"/>
  <c r="S35" i="5"/>
  <c r="V35" i="5"/>
  <c r="W35" i="5"/>
  <c r="X35" i="5"/>
  <c r="Y35" i="5"/>
  <c r="Z35" i="5"/>
  <c r="AA35" i="5"/>
  <c r="AB35" i="5"/>
  <c r="AC35" i="5"/>
  <c r="AD35" i="5"/>
  <c r="AH35" i="5" s="1"/>
  <c r="AE35" i="5"/>
  <c r="AI35" i="5" s="1"/>
  <c r="AF35" i="5"/>
  <c r="AG35" i="5"/>
  <c r="F38" i="5"/>
  <c r="G38" i="5"/>
  <c r="H38" i="5"/>
  <c r="T38" i="5"/>
  <c r="U38" i="5"/>
  <c r="AB38" i="5"/>
  <c r="AC38" i="5"/>
  <c r="AH38" i="5"/>
  <c r="AI38" i="5"/>
  <c r="AJ38" i="5"/>
  <c r="F39" i="5"/>
  <c r="G39" i="5"/>
  <c r="H39" i="5"/>
  <c r="T39" i="5"/>
  <c r="AJ39" i="5" s="1"/>
  <c r="AL39" i="5" s="1"/>
  <c r="U39" i="5"/>
  <c r="AB39" i="5"/>
  <c r="AC39" i="5"/>
  <c r="AH39" i="5"/>
  <c r="AI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U40" i="5" s="1"/>
  <c r="P40" i="5"/>
  <c r="Q40" i="5"/>
  <c r="R40" i="5"/>
  <c r="S40" i="5"/>
  <c r="V40" i="5"/>
  <c r="W40" i="5"/>
  <c r="X40" i="5"/>
  <c r="Y40" i="5"/>
  <c r="AC40" i="5" s="1"/>
  <c r="Z40" i="5"/>
  <c r="AA40" i="5"/>
  <c r="AD40" i="5"/>
  <c r="AH40" i="5" s="1"/>
  <c r="AE40" i="5"/>
  <c r="AF40" i="5"/>
  <c r="AG40" i="5"/>
  <c r="B44" i="5"/>
  <c r="F44" i="5" s="1"/>
  <c r="C44" i="5"/>
  <c r="G44" i="5"/>
  <c r="T44" i="5"/>
  <c r="U44" i="5"/>
  <c r="AK44" i="5" s="1"/>
  <c r="AB44" i="5"/>
  <c r="AJ44" i="5" s="1"/>
  <c r="AC44" i="5"/>
  <c r="AH44" i="5"/>
  <c r="AI44" i="5"/>
  <c r="C45" i="5"/>
  <c r="F45" i="5"/>
  <c r="G45" i="5"/>
  <c r="T45" i="5"/>
  <c r="U45" i="5"/>
  <c r="AK45" i="5" s="1"/>
  <c r="AB45" i="5"/>
  <c r="AC45" i="5"/>
  <c r="AH45" i="5"/>
  <c r="AI45" i="5"/>
  <c r="B46" i="5"/>
  <c r="F46" i="5" s="1"/>
  <c r="C46" i="5"/>
  <c r="G46" i="5" s="1"/>
  <c r="H46" i="5"/>
  <c r="I46" i="5"/>
  <c r="T46" i="5"/>
  <c r="U46" i="5"/>
  <c r="Z46" i="5"/>
  <c r="AA46" i="5"/>
  <c r="AC46" i="5" s="1"/>
  <c r="AF46" i="5"/>
  <c r="AH46" i="5" s="1"/>
  <c r="AI46" i="5"/>
  <c r="B47" i="5"/>
  <c r="F47" i="5" s="1"/>
  <c r="C47" i="5"/>
  <c r="G47" i="5" s="1"/>
  <c r="T47" i="5"/>
  <c r="U47" i="5"/>
  <c r="AK47" i="5" s="1"/>
  <c r="AB47" i="5"/>
  <c r="AC47" i="5"/>
  <c r="AD47" i="5"/>
  <c r="AH47" i="5" s="1"/>
  <c r="AJ47" i="5" s="1"/>
  <c r="AE47" i="5"/>
  <c r="AI47" i="5" s="1"/>
  <c r="B48" i="5"/>
  <c r="C48" i="5"/>
  <c r="G48" i="5" s="1"/>
  <c r="D48" i="5"/>
  <c r="H48" i="5"/>
  <c r="N48" i="5"/>
  <c r="P48" i="5"/>
  <c r="R48" i="5"/>
  <c r="U48" i="5"/>
  <c r="AK48" i="5" s="1"/>
  <c r="V48" i="5"/>
  <c r="Z48" i="5"/>
  <c r="AB48" i="5" s="1"/>
  <c r="AC48" i="5"/>
  <c r="AD48" i="5"/>
  <c r="AE48" i="5"/>
  <c r="AF48" i="5"/>
  <c r="AH48" i="5"/>
  <c r="AI48" i="5"/>
  <c r="B49" i="5"/>
  <c r="F49" i="5" s="1"/>
  <c r="C49" i="5"/>
  <c r="D49" i="5"/>
  <c r="E49" i="5"/>
  <c r="G49" i="5"/>
  <c r="H49" i="5"/>
  <c r="I49" i="5"/>
  <c r="N49" i="5"/>
  <c r="N64" i="5" s="1"/>
  <c r="O49" i="5"/>
  <c r="P49" i="5"/>
  <c r="Q49" i="5"/>
  <c r="R49" i="5"/>
  <c r="S49" i="5"/>
  <c r="V49" i="5"/>
  <c r="W49" i="5"/>
  <c r="Z49" i="5"/>
  <c r="AB49" i="5" s="1"/>
  <c r="AA49" i="5"/>
  <c r="AC49" i="5"/>
  <c r="AD49" i="5"/>
  <c r="AE49" i="5"/>
  <c r="AF49" i="5"/>
  <c r="AG49" i="5"/>
  <c r="AH49" i="5"/>
  <c r="AI49" i="5"/>
  <c r="B50" i="5"/>
  <c r="C50" i="5"/>
  <c r="D50" i="5"/>
  <c r="E50" i="5"/>
  <c r="F50" i="5"/>
  <c r="G50" i="5"/>
  <c r="H50" i="5"/>
  <c r="I50" i="5"/>
  <c r="N50" i="5"/>
  <c r="O50" i="5"/>
  <c r="P50" i="5"/>
  <c r="Q50" i="5"/>
  <c r="R50" i="5"/>
  <c r="S50" i="5"/>
  <c r="V50" i="5"/>
  <c r="W50" i="5"/>
  <c r="Z50" i="5"/>
  <c r="AB50" i="5" s="1"/>
  <c r="AA50" i="5"/>
  <c r="AC50" i="5"/>
  <c r="AD50" i="5"/>
  <c r="AH50" i="5" s="1"/>
  <c r="AE50" i="5"/>
  <c r="AI50" i="5" s="1"/>
  <c r="AF50" i="5"/>
  <c r="AG50" i="5"/>
  <c r="B51" i="5"/>
  <c r="D51" i="5"/>
  <c r="F51" i="5"/>
  <c r="G51" i="5"/>
  <c r="H51" i="5"/>
  <c r="N51" i="5"/>
  <c r="P51" i="5"/>
  <c r="R51" i="5"/>
  <c r="U51" i="5"/>
  <c r="V51" i="5"/>
  <c r="Z51" i="5"/>
  <c r="AB51" i="5" s="1"/>
  <c r="AC51" i="5"/>
  <c r="AK51" i="5" s="1"/>
  <c r="AM51" i="5" s="1"/>
  <c r="AD51" i="5"/>
  <c r="AF51" i="5"/>
  <c r="AI51" i="5"/>
  <c r="B52" i="5"/>
  <c r="D52" i="5"/>
  <c r="G52" i="5"/>
  <c r="H52" i="5"/>
  <c r="N52" i="5"/>
  <c r="P52" i="5"/>
  <c r="R52" i="5"/>
  <c r="U52" i="5"/>
  <c r="V52" i="5"/>
  <c r="Z52" i="5"/>
  <c r="AB52" i="5" s="1"/>
  <c r="AC52" i="5"/>
  <c r="AK52" i="5" s="1"/>
  <c r="AM52" i="5" s="1"/>
  <c r="AD52" i="5"/>
  <c r="AF52" i="5"/>
  <c r="AI52" i="5"/>
  <c r="B53" i="5"/>
  <c r="C53" i="5"/>
  <c r="D53" i="5"/>
  <c r="E53" i="5"/>
  <c r="H53" i="5"/>
  <c r="I53" i="5"/>
  <c r="N53" i="5"/>
  <c r="O53" i="5"/>
  <c r="P53" i="5"/>
  <c r="Q53" i="5"/>
  <c r="R53" i="5"/>
  <c r="S53" i="5"/>
  <c r="T53" i="5"/>
  <c r="V53" i="5"/>
  <c r="W53" i="5"/>
  <c r="Z53" i="5"/>
  <c r="AB53" i="5" s="1"/>
  <c r="AA53" i="5"/>
  <c r="AC53" i="5"/>
  <c r="AD53" i="5"/>
  <c r="AE53" i="5"/>
  <c r="AF53" i="5"/>
  <c r="AG53" i="5"/>
  <c r="C54" i="5"/>
  <c r="E54" i="5"/>
  <c r="F54" i="5"/>
  <c r="I54" i="5"/>
  <c r="O54" i="5"/>
  <c r="Q54" i="5"/>
  <c r="S54" i="5"/>
  <c r="T54" i="5"/>
  <c r="W54" i="5"/>
  <c r="AA54" i="5"/>
  <c r="AB54" i="5"/>
  <c r="AC54" i="5"/>
  <c r="AE54" i="5"/>
  <c r="AG54" i="5"/>
  <c r="AH54" i="5"/>
  <c r="C55" i="5"/>
  <c r="E55" i="5"/>
  <c r="F55" i="5"/>
  <c r="I55" i="5"/>
  <c r="O55" i="5"/>
  <c r="U55" i="5" s="1"/>
  <c r="AK55" i="5" s="1"/>
  <c r="Q55" i="5"/>
  <c r="S55" i="5"/>
  <c r="T55" i="5"/>
  <c r="AJ55" i="5" s="1"/>
  <c r="W55" i="5"/>
  <c r="AA55" i="5"/>
  <c r="AC55" i="5" s="1"/>
  <c r="AB55" i="5"/>
  <c r="AE55" i="5"/>
  <c r="AG55" i="5"/>
  <c r="AH55" i="5"/>
  <c r="AI55" i="5"/>
  <c r="B56" i="5"/>
  <c r="F56" i="5" s="1"/>
  <c r="G56" i="5"/>
  <c r="I56" i="5"/>
  <c r="T56" i="5"/>
  <c r="AJ56" i="5" s="1"/>
  <c r="U56" i="5"/>
  <c r="W56" i="5"/>
  <c r="AB56" i="5"/>
  <c r="AC56" i="5"/>
  <c r="AD56" i="5"/>
  <c r="AE56" i="5"/>
  <c r="AI56" i="5" s="1"/>
  <c r="AH56" i="5"/>
  <c r="F57" i="5"/>
  <c r="G57" i="5"/>
  <c r="I57" i="5"/>
  <c r="T57" i="5"/>
  <c r="U57" i="5"/>
  <c r="W57" i="5"/>
  <c r="AB57" i="5"/>
  <c r="AC57" i="5"/>
  <c r="AH57" i="5"/>
  <c r="AI57" i="5"/>
  <c r="B59" i="5"/>
  <c r="F59" i="5" s="1"/>
  <c r="C59" i="5"/>
  <c r="G59" i="5" s="1"/>
  <c r="T59" i="5"/>
  <c r="U59" i="5"/>
  <c r="AB59" i="5"/>
  <c r="AC59" i="5"/>
  <c r="AH59" i="5"/>
  <c r="AI59" i="5"/>
  <c r="B60" i="5"/>
  <c r="C60" i="5"/>
  <c r="D60" i="5"/>
  <c r="E60" i="5"/>
  <c r="G60" i="5" s="1"/>
  <c r="H60" i="5"/>
  <c r="I60" i="5"/>
  <c r="N60" i="5"/>
  <c r="O60" i="5"/>
  <c r="P60" i="5"/>
  <c r="Q60" i="5"/>
  <c r="R60" i="5"/>
  <c r="S60" i="5"/>
  <c r="U60" i="5"/>
  <c r="V60" i="5"/>
  <c r="W60" i="5"/>
  <c r="Z60" i="5"/>
  <c r="AA60" i="5"/>
  <c r="AB60" i="5"/>
  <c r="AC60" i="5"/>
  <c r="AD60" i="5"/>
  <c r="AH60" i="5" s="1"/>
  <c r="AE60" i="5"/>
  <c r="AI60" i="5" s="1"/>
  <c r="AF60" i="5"/>
  <c r="AG60" i="5"/>
  <c r="B61" i="5"/>
  <c r="D61" i="5"/>
  <c r="G61" i="5"/>
  <c r="H61" i="5"/>
  <c r="N61" i="5"/>
  <c r="T61" i="5" s="1"/>
  <c r="P61" i="5"/>
  <c r="R61" i="5"/>
  <c r="U61" i="5"/>
  <c r="V61" i="5"/>
  <c r="Z61" i="5"/>
  <c r="AB61" i="5" s="1"/>
  <c r="AC61" i="5"/>
  <c r="AK61" i="5" s="1"/>
  <c r="AM61" i="5" s="1"/>
  <c r="AD61" i="5"/>
  <c r="AH61" i="5" s="1"/>
  <c r="AF61" i="5"/>
  <c r="AI61" i="5"/>
  <c r="B62" i="5"/>
  <c r="F62" i="5" s="1"/>
  <c r="C62" i="5"/>
  <c r="E62" i="5"/>
  <c r="H62" i="5"/>
  <c r="I62" i="5"/>
  <c r="O62" i="5"/>
  <c r="U62" i="5" s="1"/>
  <c r="Q62" i="5"/>
  <c r="S62" i="5"/>
  <c r="T62" i="5"/>
  <c r="W62" i="5"/>
  <c r="Z62" i="5"/>
  <c r="AA62" i="5"/>
  <c r="AA64" i="5" s="1"/>
  <c r="AC64" i="5" s="1"/>
  <c r="AB62" i="5"/>
  <c r="AC62" i="5"/>
  <c r="AE62" i="5"/>
  <c r="AG62" i="5"/>
  <c r="AH62" i="5"/>
  <c r="F63" i="5"/>
  <c r="G63" i="5"/>
  <c r="T63" i="5"/>
  <c r="AJ63" i="5" s="1"/>
  <c r="U63" i="5"/>
  <c r="AA63" i="5"/>
  <c r="AC63" i="5" s="1"/>
  <c r="AB63" i="5"/>
  <c r="AH63" i="5"/>
  <c r="AI63" i="5"/>
  <c r="J64" i="5"/>
  <c r="K64" i="5"/>
  <c r="L64" i="5"/>
  <c r="M64" i="5"/>
  <c r="X64" i="5"/>
  <c r="Y64" i="5"/>
  <c r="AD64" i="5"/>
  <c r="F67" i="5"/>
  <c r="G67" i="5"/>
  <c r="T67" i="5"/>
  <c r="U67" i="5"/>
  <c r="W67" i="5"/>
  <c r="AB67" i="5"/>
  <c r="AC67" i="5"/>
  <c r="AH67" i="5"/>
  <c r="AI67" i="5"/>
  <c r="B68" i="5"/>
  <c r="C68" i="5"/>
  <c r="D68" i="5"/>
  <c r="E68" i="5"/>
  <c r="E69" i="5" s="1"/>
  <c r="H68" i="5"/>
  <c r="H69" i="5" s="1"/>
  <c r="I68" i="5"/>
  <c r="I69" i="5" s="1"/>
  <c r="J68" i="5"/>
  <c r="J69" i="5" s="1"/>
  <c r="K68" i="5"/>
  <c r="K69" i="5" s="1"/>
  <c r="L68" i="5"/>
  <c r="M68" i="5"/>
  <c r="M69" i="5" s="1"/>
  <c r="N68" i="5"/>
  <c r="O68" i="5"/>
  <c r="O69" i="5" s="1"/>
  <c r="P68" i="5"/>
  <c r="P69" i="5" s="1"/>
  <c r="Q68" i="5"/>
  <c r="Q69" i="5" s="1"/>
  <c r="R68" i="5"/>
  <c r="R69" i="5" s="1"/>
  <c r="S68" i="5"/>
  <c r="S69" i="5" s="1"/>
  <c r="V68" i="5"/>
  <c r="W68" i="5"/>
  <c r="X68" i="5"/>
  <c r="AB68" i="5" s="1"/>
  <c r="Y68" i="5"/>
  <c r="AC68" i="5" s="1"/>
  <c r="Z68" i="5"/>
  <c r="Z69" i="5" s="1"/>
  <c r="AA68" i="5"/>
  <c r="AA69" i="5" s="1"/>
  <c r="AD68" i="5"/>
  <c r="AE68" i="5"/>
  <c r="AI68" i="5" s="1"/>
  <c r="AF68" i="5"/>
  <c r="AF69" i="5" s="1"/>
  <c r="AG68" i="5"/>
  <c r="AG69" i="5" s="1"/>
  <c r="AH68" i="5"/>
  <c r="D69" i="5"/>
  <c r="L69" i="5"/>
  <c r="N69" i="5"/>
  <c r="V69" i="5"/>
  <c r="W69" i="5"/>
  <c r="X69" i="5"/>
  <c r="AB69" i="5" s="1"/>
  <c r="Y69" i="5"/>
  <c r="AD69" i="5"/>
  <c r="B9" i="3"/>
  <c r="B10" i="3"/>
  <c r="B11" i="3"/>
  <c r="B12" i="3"/>
  <c r="B13" i="3"/>
  <c r="B14" i="3"/>
  <c r="B19" i="3"/>
  <c r="B20" i="3" s="1"/>
  <c r="B22" i="3"/>
  <c r="B23" i="3"/>
  <c r="B24" i="3"/>
  <c r="B25" i="3"/>
  <c r="B26" i="3"/>
  <c r="B30" i="3"/>
  <c r="B31" i="3"/>
  <c r="B34" i="3"/>
  <c r="B35" i="3" s="1"/>
  <c r="B41" i="3"/>
  <c r="B42" i="3" s="1"/>
  <c r="B44" i="3"/>
  <c r="B45" i="3"/>
  <c r="B46" i="3"/>
  <c r="B47" i="3"/>
  <c r="B52" i="3"/>
  <c r="B53" i="3"/>
  <c r="B54" i="3"/>
  <c r="B56" i="3"/>
  <c r="B57" i="3"/>
  <c r="B58" i="3"/>
  <c r="B60" i="3"/>
  <c r="B61" i="3"/>
  <c r="B62" i="3"/>
  <c r="B66" i="3"/>
  <c r="B67" i="3" s="1"/>
  <c r="B70" i="3"/>
  <c r="B72" i="3"/>
  <c r="B73" i="3"/>
  <c r="B76" i="3"/>
  <c r="B77" i="3" s="1"/>
  <c r="B78" i="3"/>
  <c r="AJ61" i="5" l="1"/>
  <c r="T69" i="5"/>
  <c r="AJ69" i="5" s="1"/>
  <c r="AJ67" i="5"/>
  <c r="AL67" i="5" s="1"/>
  <c r="AM45" i="5"/>
  <c r="AB40" i="5"/>
  <c r="AL38" i="5"/>
  <c r="T29" i="5"/>
  <c r="AJ25" i="5"/>
  <c r="AL25" i="5" s="1"/>
  <c r="E64" i="5"/>
  <c r="E65" i="5" s="1"/>
  <c r="E70" i="5" s="1"/>
  <c r="AJ59" i="5"/>
  <c r="AL59" i="5" s="1"/>
  <c r="AL63" i="5"/>
  <c r="F53" i="5"/>
  <c r="AK39" i="5"/>
  <c r="AK38" i="5"/>
  <c r="AM38" i="5" s="1"/>
  <c r="AM34" i="5"/>
  <c r="AJ32" i="5"/>
  <c r="AL32" i="5" s="1"/>
  <c r="AK31" i="5"/>
  <c r="F30" i="5"/>
  <c r="AK13" i="5"/>
  <c r="AM13" i="5" s="1"/>
  <c r="S36" i="5"/>
  <c r="S41" i="5" s="1"/>
  <c r="AK60" i="5"/>
  <c r="AM60" i="5" s="1"/>
  <c r="AK59" i="5"/>
  <c r="AM59" i="5" s="1"/>
  <c r="T40" i="5"/>
  <c r="AE69" i="5"/>
  <c r="AI69" i="5" s="1"/>
  <c r="AK68" i="5"/>
  <c r="U68" i="5"/>
  <c r="F61" i="5"/>
  <c r="F60" i="5"/>
  <c r="U49" i="5"/>
  <c r="AK49" i="5" s="1"/>
  <c r="AM49" i="5" s="1"/>
  <c r="T48" i="5"/>
  <c r="AJ48" i="5" s="1"/>
  <c r="AI40" i="5"/>
  <c r="AJ28" i="5"/>
  <c r="AL28" i="5" s="1"/>
  <c r="AK26" i="5"/>
  <c r="AM26" i="5" s="1"/>
  <c r="AJ21" i="5"/>
  <c r="AL21" i="5" s="1"/>
  <c r="AK17" i="5"/>
  <c r="AM17" i="5" s="1"/>
  <c r="AJ13" i="5"/>
  <c r="AL13" i="5" s="1"/>
  <c r="AH69" i="5"/>
  <c r="T68" i="5"/>
  <c r="AJ68" i="5" s="1"/>
  <c r="AK57" i="5"/>
  <c r="H64" i="5"/>
  <c r="U35" i="5"/>
  <c r="AB26" i="5"/>
  <c r="AJ26" i="5" s="1"/>
  <c r="AL26" i="5" s="1"/>
  <c r="AJ22" i="5"/>
  <c r="AL22" i="5" s="1"/>
  <c r="AJ17" i="5"/>
  <c r="AL17" i="5" s="1"/>
  <c r="U12" i="5"/>
  <c r="T60" i="5"/>
  <c r="AJ60" i="5" s="1"/>
  <c r="AL60" i="5" s="1"/>
  <c r="AF64" i="5"/>
  <c r="AF65" i="5" s="1"/>
  <c r="AF70" i="5" s="1"/>
  <c r="AC69" i="5"/>
  <c r="AK69" i="5" s="1"/>
  <c r="AI62" i="5"/>
  <c r="AJ57" i="5"/>
  <c r="AL57" i="5" s="1"/>
  <c r="G55" i="5"/>
  <c r="AM55" i="5" s="1"/>
  <c r="AG64" i="5"/>
  <c r="V64" i="5"/>
  <c r="AH51" i="5"/>
  <c r="T51" i="5"/>
  <c r="AJ51" i="5" s="1"/>
  <c r="AL51" i="5" s="1"/>
  <c r="I64" i="5"/>
  <c r="AM39" i="5"/>
  <c r="AA29" i="5"/>
  <c r="AC29" i="5" s="1"/>
  <c r="G22" i="5"/>
  <c r="AK20" i="5"/>
  <c r="AM20" i="5" s="1"/>
  <c r="AG18" i="5"/>
  <c r="AG36" i="5" s="1"/>
  <c r="AG41" i="5" s="1"/>
  <c r="AG65" i="5" s="1"/>
  <c r="AG70" i="5" s="1"/>
  <c r="F18" i="5"/>
  <c r="S64" i="5"/>
  <c r="Q64" i="5"/>
  <c r="Q65" i="5" s="1"/>
  <c r="Q70" i="5" s="1"/>
  <c r="L36" i="5"/>
  <c r="AJ23" i="5"/>
  <c r="AL23" i="5" s="1"/>
  <c r="G30" i="5"/>
  <c r="C12" i="5"/>
  <c r="G12" i="5" s="1"/>
  <c r="G53" i="5"/>
  <c r="F52" i="5"/>
  <c r="U50" i="5"/>
  <c r="AK50" i="5" s="1"/>
  <c r="AM50" i="5" s="1"/>
  <c r="AK46" i="5"/>
  <c r="AM46" i="5" s="1"/>
  <c r="W30" i="5"/>
  <c r="AK27" i="5"/>
  <c r="AJ19" i="5"/>
  <c r="AL19" i="5" s="1"/>
  <c r="AA18" i="5"/>
  <c r="AC18" i="5" s="1"/>
  <c r="T18" i="5"/>
  <c r="B15" i="3"/>
  <c r="B16" i="3" s="1"/>
  <c r="B17" i="3" s="1"/>
  <c r="B48" i="3"/>
  <c r="B49" i="3" s="1"/>
  <c r="B50" i="3" s="1"/>
  <c r="B27" i="3"/>
  <c r="B32" i="3"/>
  <c r="B74" i="3"/>
  <c r="B59" i="3"/>
  <c r="B55" i="3"/>
  <c r="Y41" i="5"/>
  <c r="P65" i="5"/>
  <c r="P70" i="5" s="1"/>
  <c r="H30" i="5"/>
  <c r="H36" i="5" s="1"/>
  <c r="H41" i="5" s="1"/>
  <c r="H65" i="5" s="1"/>
  <c r="H70" i="5" s="1"/>
  <c r="AK67" i="5"/>
  <c r="AM67" i="5" s="1"/>
  <c r="AJ54" i="5"/>
  <c r="AL54" i="5" s="1"/>
  <c r="W64" i="5"/>
  <c r="AM47" i="5"/>
  <c r="AL46" i="5"/>
  <c r="AJ45" i="5"/>
  <c r="AL45" i="5" s="1"/>
  <c r="AJ33" i="5"/>
  <c r="AL33" i="5" s="1"/>
  <c r="AK23" i="5"/>
  <c r="AM23" i="5" s="1"/>
  <c r="AI18" i="5"/>
  <c r="AJ18" i="5"/>
  <c r="R36" i="5"/>
  <c r="R41" i="5" s="1"/>
  <c r="J36" i="5"/>
  <c r="G62" i="5"/>
  <c r="AE64" i="5"/>
  <c r="AJ53" i="5"/>
  <c r="AL53" i="5" s="1"/>
  <c r="AH52" i="5"/>
  <c r="T52" i="5"/>
  <c r="AM48" i="5"/>
  <c r="AB46" i="5"/>
  <c r="AJ46" i="5" s="1"/>
  <c r="Z64" i="5"/>
  <c r="AB64" i="5" s="1"/>
  <c r="AL34" i="5"/>
  <c r="AM16" i="5"/>
  <c r="AK14" i="5"/>
  <c r="AM14" i="5" s="1"/>
  <c r="W18" i="5"/>
  <c r="W36" i="5" s="1"/>
  <c r="W41" i="5" s="1"/>
  <c r="W65" i="5" s="1"/>
  <c r="W70" i="5" s="1"/>
  <c r="Z36" i="5"/>
  <c r="Z41" i="5" s="1"/>
  <c r="T12" i="5"/>
  <c r="AK8" i="5"/>
  <c r="AM8" i="5" s="1"/>
  <c r="AL47" i="5"/>
  <c r="AL24" i="5"/>
  <c r="AK63" i="5"/>
  <c r="AM63" i="5" s="1"/>
  <c r="AJ62" i="5"/>
  <c r="AL62" i="5" s="1"/>
  <c r="AL56" i="5"/>
  <c r="AI53" i="5"/>
  <c r="T50" i="5"/>
  <c r="AJ50" i="5" s="1"/>
  <c r="F48" i="5"/>
  <c r="AL48" i="5" s="1"/>
  <c r="D64" i="5"/>
  <c r="D65" i="5" s="1"/>
  <c r="D70" i="5" s="1"/>
  <c r="AM40" i="5"/>
  <c r="AK35" i="5"/>
  <c r="AM35" i="5" s="1"/>
  <c r="AM32" i="5"/>
  <c r="AM27" i="5"/>
  <c r="AK21" i="5"/>
  <c r="AM21" i="5" s="1"/>
  <c r="AM19" i="5"/>
  <c r="U18" i="5"/>
  <c r="AL16" i="5"/>
  <c r="AC12" i="5"/>
  <c r="AK12" i="5" s="1"/>
  <c r="AK11" i="5"/>
  <c r="AE30" i="5"/>
  <c r="AI30" i="5" s="1"/>
  <c r="AI29" i="5"/>
  <c r="AM28" i="5"/>
  <c r="U69" i="5"/>
  <c r="G68" i="5"/>
  <c r="AL61" i="5"/>
  <c r="AL55" i="5"/>
  <c r="AH53" i="5"/>
  <c r="AM44" i="5"/>
  <c r="AB29" i="5"/>
  <c r="AJ29" i="5" s="1"/>
  <c r="AL29" i="5" s="1"/>
  <c r="X30" i="5"/>
  <c r="AL27" i="5"/>
  <c r="AJ24" i="5"/>
  <c r="AM22" i="5"/>
  <c r="AL15" i="5"/>
  <c r="AJ14" i="5"/>
  <c r="AL14" i="5" s="1"/>
  <c r="AB12" i="5"/>
  <c r="AJ12" i="5" s="1"/>
  <c r="AJ11" i="5"/>
  <c r="AL11" i="5" s="1"/>
  <c r="AM9" i="5"/>
  <c r="F68" i="5"/>
  <c r="B69" i="5"/>
  <c r="F69" i="5" s="1"/>
  <c r="AL69" i="5" s="1"/>
  <c r="AM57" i="5"/>
  <c r="R64" i="5"/>
  <c r="AL44" i="5"/>
  <c r="AK40" i="5"/>
  <c r="U30" i="5"/>
  <c r="M36" i="5"/>
  <c r="C36" i="5"/>
  <c r="AL9" i="5"/>
  <c r="AL50" i="5"/>
  <c r="AK62" i="5"/>
  <c r="S65" i="5"/>
  <c r="S70" i="5" s="1"/>
  <c r="AJ40" i="5"/>
  <c r="AL40" i="5" s="1"/>
  <c r="L41" i="5"/>
  <c r="V36" i="5"/>
  <c r="V41" i="5" s="1"/>
  <c r="V65" i="5" s="1"/>
  <c r="V70" i="5" s="1"/>
  <c r="AK24" i="5"/>
  <c r="AM24" i="5" s="1"/>
  <c r="B36" i="5"/>
  <c r="F12" i="5"/>
  <c r="AM11" i="5"/>
  <c r="C64" i="5"/>
  <c r="AK56" i="5"/>
  <c r="AM56" i="5" s="1"/>
  <c r="AI54" i="5"/>
  <c r="U54" i="5"/>
  <c r="G54" i="5"/>
  <c r="O64" i="5"/>
  <c r="U53" i="5"/>
  <c r="AK53" i="5" s="1"/>
  <c r="AM53" i="5" s="1"/>
  <c r="T49" i="5"/>
  <c r="AJ49" i="5" s="1"/>
  <c r="AL49" i="5" s="1"/>
  <c r="P64" i="5"/>
  <c r="B64" i="5"/>
  <c r="I36" i="5"/>
  <c r="I41" i="5" s="1"/>
  <c r="AK33" i="5"/>
  <c r="AM33" i="5" s="1"/>
  <c r="AM31" i="5"/>
  <c r="AA30" i="5"/>
  <c r="AC30" i="5" s="1"/>
  <c r="AL18" i="5"/>
  <c r="AK15" i="5"/>
  <c r="AM15" i="5" s="1"/>
  <c r="K36" i="5"/>
  <c r="O36" i="5"/>
  <c r="O41" i="5" s="1"/>
  <c r="C69" i="5"/>
  <c r="G69" i="5" s="1"/>
  <c r="AD30" i="5"/>
  <c r="N30" i="5"/>
  <c r="T35" i="5"/>
  <c r="AJ35" i="5" s="1"/>
  <c r="AL35" i="5" s="1"/>
  <c r="U29" i="5"/>
  <c r="B79" i="3"/>
  <c r="O65" i="5" l="1"/>
  <c r="O70" i="5" s="1"/>
  <c r="I65" i="5"/>
  <c r="I70" i="5" s="1"/>
  <c r="AL68" i="5"/>
  <c r="AM68" i="5"/>
  <c r="B28" i="3"/>
  <c r="B36" i="3" s="1"/>
  <c r="R65" i="5"/>
  <c r="R70" i="5" s="1"/>
  <c r="AM69" i="5"/>
  <c r="Z65" i="5"/>
  <c r="Z70" i="5" s="1"/>
  <c r="AJ52" i="5"/>
  <c r="AL52" i="5" s="1"/>
  <c r="AH64" i="5"/>
  <c r="U64" i="5"/>
  <c r="F64" i="5"/>
  <c r="T64" i="5"/>
  <c r="G64" i="5"/>
  <c r="AI64" i="5"/>
  <c r="B63" i="3"/>
  <c r="B64" i="3" s="1"/>
  <c r="B68" i="3" s="1"/>
  <c r="B80" i="3" s="1"/>
  <c r="AK30" i="5"/>
  <c r="AM30" i="5" s="1"/>
  <c r="AA36" i="5"/>
  <c r="AE36" i="5"/>
  <c r="L65" i="5"/>
  <c r="AB30" i="5"/>
  <c r="X36" i="5"/>
  <c r="AK18" i="5"/>
  <c r="AM18" i="5" s="1"/>
  <c r="K41" i="5"/>
  <c r="AM54" i="5"/>
  <c r="AL12" i="5"/>
  <c r="AM12" i="5"/>
  <c r="AM62" i="5"/>
  <c r="AK29" i="5"/>
  <c r="AM29" i="5" s="1"/>
  <c r="AK54" i="5"/>
  <c r="F36" i="5"/>
  <c r="B41" i="5"/>
  <c r="G36" i="5"/>
  <c r="C41" i="5"/>
  <c r="J41" i="5"/>
  <c r="M41" i="5"/>
  <c r="U36" i="5"/>
  <c r="T30" i="5"/>
  <c r="N36" i="5"/>
  <c r="Y65" i="5"/>
  <c r="AD36" i="5"/>
  <c r="AH30" i="5"/>
  <c r="AJ64" i="5" l="1"/>
  <c r="AL64" i="5" s="1"/>
  <c r="AK64" i="5"/>
  <c r="AM64" i="5" s="1"/>
  <c r="AB36" i="5"/>
  <c r="X41" i="5"/>
  <c r="L70" i="5"/>
  <c r="J65" i="5"/>
  <c r="Y70" i="5"/>
  <c r="C65" i="5"/>
  <c r="G41" i="5"/>
  <c r="N41" i="5"/>
  <c r="T36" i="5"/>
  <c r="AI36" i="5"/>
  <c r="AE41" i="5"/>
  <c r="AJ30" i="5"/>
  <c r="AL30" i="5" s="1"/>
  <c r="B65" i="5"/>
  <c r="F41" i="5"/>
  <c r="K65" i="5"/>
  <c r="AA41" i="5"/>
  <c r="AC36" i="5"/>
  <c r="AH36" i="5"/>
  <c r="AD41" i="5"/>
  <c r="U41" i="5"/>
  <c r="M65" i="5"/>
  <c r="AK36" i="5" l="1"/>
  <c r="AM36" i="5" s="1"/>
  <c r="J70" i="5"/>
  <c r="AA65" i="5"/>
  <c r="AC41" i="5"/>
  <c r="AE65" i="5"/>
  <c r="AI41" i="5"/>
  <c r="K70" i="5"/>
  <c r="AJ36" i="5"/>
  <c r="AL36" i="5" s="1"/>
  <c r="M70" i="5"/>
  <c r="U70" i="5" s="1"/>
  <c r="U65" i="5"/>
  <c r="N65" i="5"/>
  <c r="T41" i="5"/>
  <c r="AB41" i="5"/>
  <c r="X65" i="5"/>
  <c r="B70" i="5"/>
  <c r="F70" i="5" s="1"/>
  <c r="F65" i="5"/>
  <c r="C70" i="5"/>
  <c r="G70" i="5" s="1"/>
  <c r="G65" i="5"/>
  <c r="AD65" i="5"/>
  <c r="AH41" i="5"/>
  <c r="AJ41" i="5" l="1"/>
  <c r="AL41" i="5" s="1"/>
  <c r="AI65" i="5"/>
  <c r="AE70" i="5"/>
  <c r="AI70" i="5" s="1"/>
  <c r="N70" i="5"/>
  <c r="T70" i="5" s="1"/>
  <c r="AJ70" i="5" s="1"/>
  <c r="AL70" i="5" s="1"/>
  <c r="T65" i="5"/>
  <c r="AK41" i="5"/>
  <c r="AM41" i="5" s="1"/>
  <c r="AA70" i="5"/>
  <c r="AC70" i="5" s="1"/>
  <c r="AK70" i="5" s="1"/>
  <c r="AM70" i="5" s="1"/>
  <c r="AC65" i="5"/>
  <c r="AK65" i="5" s="1"/>
  <c r="AM65" i="5" s="1"/>
  <c r="AB65" i="5"/>
  <c r="X70" i="5"/>
  <c r="AB70" i="5" s="1"/>
  <c r="AH65" i="5"/>
  <c r="AD70" i="5"/>
  <c r="AH70" i="5" s="1"/>
  <c r="AJ65" i="5" l="1"/>
  <c r="AL65" i="5" s="1"/>
</calcChain>
</file>

<file path=xl/sharedStrings.xml><?xml version="1.0" encoding="utf-8"?>
<sst xmlns="http://schemas.openxmlformats.org/spreadsheetml/2006/main" count="205" uniqueCount="168">
  <si>
    <t>ASSETS</t>
  </si>
  <si>
    <t>TOTAL ASSETS</t>
  </si>
  <si>
    <t>Net Income</t>
  </si>
  <si>
    <t>1000.1 Board</t>
  </si>
  <si>
    <t>Total 3001 Member Services</t>
  </si>
  <si>
    <t>3006.2 MyLO</t>
  </si>
  <si>
    <t>Total 3006 LEW*</t>
  </si>
  <si>
    <t>3011 Schafer Fellowship</t>
  </si>
  <si>
    <t>Total 3007 Advocacy</t>
  </si>
  <si>
    <t>Total 1000 Management</t>
  </si>
  <si>
    <t>Total 3000 Programs</t>
  </si>
  <si>
    <t>TOTAL</t>
  </si>
  <si>
    <t>Budget</t>
  </si>
  <si>
    <t>Income</t>
  </si>
  <si>
    <t>Total Income</t>
  </si>
  <si>
    <t>Cost of Goods Sold</t>
  </si>
  <si>
    <t>Gross Profit</t>
  </si>
  <si>
    <t>3001.2 DEI</t>
  </si>
  <si>
    <t>3001.3 LLC</t>
  </si>
  <si>
    <t>TOTAL LIABILITIES AND EQUITY</t>
  </si>
  <si>
    <t xml:space="preserve">   Total Equity</t>
  </si>
  <si>
    <t xml:space="preserve">      Net Income</t>
  </si>
  <si>
    <t xml:space="preserve">      Total 3700.1 Board Designated Net Assets</t>
  </si>
  <si>
    <t xml:space="preserve">      3700.1 Board Designated Net Assets</t>
  </si>
  <si>
    <t xml:space="preserve">      3700 Unrestricted Net  Assets</t>
  </si>
  <si>
    <t xml:space="preserve">   Equity</t>
  </si>
  <si>
    <t xml:space="preserve">   Total Liabilities</t>
  </si>
  <si>
    <t xml:space="preserve">      Total Long-Term Liabilities</t>
  </si>
  <si>
    <t xml:space="preserve">         2501 Deferred Rent</t>
  </si>
  <si>
    <t xml:space="preserve">      Long-Term Liabilities</t>
  </si>
  <si>
    <t xml:space="preserve">      Total Current Liabilities</t>
  </si>
  <si>
    <t xml:space="preserve">         Total Other Current Liabilities</t>
  </si>
  <si>
    <t xml:space="preserve">            2500 Deferred Revenue</t>
  </si>
  <si>
    <t xml:space="preserve">            2105 Pension Liability</t>
  </si>
  <si>
    <t xml:space="preserve">            Total 2100 Payroll Liabilities</t>
  </si>
  <si>
    <t xml:space="preserve">               2101 Vacation Accrued</t>
  </si>
  <si>
    <t xml:space="preserve">            2100 Payroll Liabilities</t>
  </si>
  <si>
    <t xml:space="preserve">            Total 2015 Due to MAL/MAS</t>
  </si>
  <si>
    <t xml:space="preserve">               2015.3 Davis MAS</t>
  </si>
  <si>
    <t xml:space="preserve">               2015.2 Santa Clarita MAS Unit</t>
  </si>
  <si>
    <t xml:space="preserve">            2015 Due to MAL/MAS</t>
  </si>
  <si>
    <t xml:space="preserve">         Other Current Liabilities</t>
  </si>
  <si>
    <t xml:space="preserve">         Total Credit Cards</t>
  </si>
  <si>
    <t xml:space="preserve">            Total 2001 Credit Cards</t>
  </si>
  <si>
    <t xml:space="preserve">               Total 2007 Wells Fargo</t>
  </si>
  <si>
    <t xml:space="preserve">                  2007.2 Wells FargoStephanie Doute-7826</t>
  </si>
  <si>
    <t xml:space="preserve">               2007 Wells Fargo</t>
  </si>
  <si>
    <t xml:space="preserve">            2001 Credit Cards</t>
  </si>
  <si>
    <t xml:space="preserve">         Credit Cards</t>
  </si>
  <si>
    <t xml:space="preserve">         Total Accounts Payable</t>
  </si>
  <si>
    <t xml:space="preserve">            2000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</si>
  <si>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</si>
  <si>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</si>
  <si>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</si>
  <si>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</si>
  <si>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 xml:space="preserve">   Total Other Assets</t>
  </si>
  <si>
    <t xml:space="preserve">      1800 Office Deposit</t>
  </si>
  <si>
    <t xml:space="preserve">   Other Assets</t>
  </si>
  <si>
    <t xml:space="preserve">   Total Fixed Assets</t>
  </si>
  <si>
    <t xml:space="preserve">      1490 Accumulated depreciation</t>
  </si>
  <si>
    <t xml:space="preserve">      1409 Furniture &amp; Fixtures</t>
  </si>
  <si>
    <t xml:space="preserve">   Fixed Assets</t>
  </si>
  <si>
    <t xml:space="preserve">   Total Current Assets</t>
  </si>
  <si>
    <t xml:space="preserve">      Total Other Current Assets</t>
  </si>
  <si>
    <t xml:space="preserve">         1520 Prepaid Expenses - Other</t>
  </si>
  <si>
    <t xml:space="preserve">         1515 Prepaid Insurance</t>
  </si>
  <si>
    <t xml:space="preserve">         1500 Other Receivable - C3</t>
  </si>
  <si>
    <t xml:space="preserve">         1499 Undeposited Funds</t>
  </si>
  <si>
    <t xml:space="preserve">         1120 Inventory Asset</t>
  </si>
  <si>
    <t xml:space="preserve">      Other Current Assets</t>
  </si>
  <si>
    <t xml:space="preserve">      Total Accounts Receivable</t>
  </si>
  <si>
    <t xml:space="preserve">         1200 Accounts Receivable</t>
  </si>
  <si>
    <t xml:space="preserve">      Accounts Receivable</t>
  </si>
  <si>
    <t xml:space="preserve">      Total Bank Accounts</t>
  </si>
  <si>
    <t xml:space="preserve">         Total 1000 Cash</t>
  </si>
  <si>
    <t xml:space="preserve">            Total 1016 Live Oak Bank</t>
  </si>
  <si>
    <t xml:space="preserve">               1016.1 Live Oak CD (2389)</t>
  </si>
  <si>
    <t xml:space="preserve">            1016 Live Oak Bank</t>
  </si>
  <si>
    <t xml:space="preserve">            1015 WF Brokerage Account</t>
  </si>
  <si>
    <t xml:space="preserve">            1005 WFB Checking (GF)</t>
  </si>
  <si>
    <t xml:space="preserve">         1000 Cash</t>
  </si>
  <si>
    <t xml:space="preserve">      Bank Accounts</t>
  </si>
  <si>
    <t xml:space="preserve">   Current Assets</t>
  </si>
  <si>
    <t>Total</t>
  </si>
  <si>
    <t>Balance Sheet</t>
  </si>
  <si>
    <t>League of Women Voters of California</t>
  </si>
  <si>
    <t>1000 Management</t>
  </si>
  <si>
    <t>2000 Development</t>
  </si>
  <si>
    <t>3000 Programs</t>
  </si>
  <si>
    <t>3001 Member Services</t>
  </si>
  <si>
    <t>3005 Local Leagues</t>
  </si>
  <si>
    <t>3006 LEW*</t>
  </si>
  <si>
    <t>3007 Advocacy</t>
  </si>
  <si>
    <t>Actual</t>
  </si>
  <si>
    <t xml:space="preserve">   40010 Membership Dues</t>
  </si>
  <si>
    <t xml:space="preserve">      40010.1 PMP dues</t>
  </si>
  <si>
    <t xml:space="preserve">      40010.2 Payments in lieu of PMPs</t>
  </si>
  <si>
    <t xml:space="preserve">      40010.3 MAL Dues</t>
  </si>
  <si>
    <t xml:space="preserve">   Total 40010 Membership Dues</t>
  </si>
  <si>
    <t xml:space="preserve">   40015 Contributions</t>
  </si>
  <si>
    <t xml:space="preserve">      40030 Contributions - Unrestricted</t>
  </si>
  <si>
    <t xml:space="preserve">      40031 Contributions - Restricted</t>
  </si>
  <si>
    <t xml:space="preserve">      40035 In Kind Contributions</t>
  </si>
  <si>
    <t xml:space="preserve">      40070 Grant Income - Unrestricted</t>
  </si>
  <si>
    <t xml:space="preserve">   Total 40015 Contributions</t>
  </si>
  <si>
    <t xml:space="preserve">   40100 Earned Revenues</t>
  </si>
  <si>
    <t xml:space="preserve">      40110 Merchandise</t>
  </si>
  <si>
    <t xml:space="preserve">      40115 Shipping Postage</t>
  </si>
  <si>
    <t xml:space="preserve">      40120 Liability Insurance</t>
  </si>
  <si>
    <t xml:space="preserve">      40130 Workshops</t>
  </si>
  <si>
    <t xml:space="preserve">      40150 Contract Services</t>
  </si>
  <si>
    <t xml:space="preserve">         40150.4 MyLO Contracts</t>
  </si>
  <si>
    <t xml:space="preserve">         40150.5 MyLO Migration</t>
  </si>
  <si>
    <t xml:space="preserve">         40150.6 Donation Page Contract</t>
  </si>
  <si>
    <t xml:space="preserve">      Total 40150 Contract Services</t>
  </si>
  <si>
    <t xml:space="preserve">   Total 40100 Earned Revenues</t>
  </si>
  <si>
    <t xml:space="preserve">   40160 Rental Income</t>
  </si>
  <si>
    <t xml:space="preserve">   40170 Interest</t>
  </si>
  <si>
    <t xml:space="preserve">   50000 Cost of Goods Sold</t>
  </si>
  <si>
    <t>Total Cost of Goods Sold</t>
  </si>
  <si>
    <t>Expenses</t>
  </si>
  <si>
    <t xml:space="preserve">   Total 60010 Personnel</t>
  </si>
  <si>
    <t xml:space="preserve">   60019 Fiscal Mgmt., Audit,  Tax Prep</t>
  </si>
  <si>
    <t xml:space="preserve">   60020 Accounting Fees</t>
  </si>
  <si>
    <t xml:space="preserve">   60021 Bank Charges/Fees</t>
  </si>
  <si>
    <t xml:space="preserve">   60030 Legal Fees</t>
  </si>
  <si>
    <t xml:space="preserve">   60040 Supplies</t>
  </si>
  <si>
    <t xml:space="preserve">   60050 Telecommunications</t>
  </si>
  <si>
    <t xml:space="preserve">   60060 Postage/Shipping</t>
  </si>
  <si>
    <t xml:space="preserve">   60070 Occupancy</t>
  </si>
  <si>
    <t xml:space="preserve">   60080 Equipment rental &amp; maintenance</t>
  </si>
  <si>
    <t xml:space="preserve">   60090 Printing and publications</t>
  </si>
  <si>
    <t xml:space="preserve">   60100 Travel/Food/Lodging</t>
  </si>
  <si>
    <t xml:space="preserve">   60110 Promotion</t>
  </si>
  <si>
    <t xml:space="preserve">   Total 60140 Insurance</t>
  </si>
  <si>
    <t xml:space="preserve">   60150 LWVUS MAL Dues</t>
  </si>
  <si>
    <t xml:space="preserve">   60160 Fees, subscriptions</t>
  </si>
  <si>
    <t xml:space="preserve">   60161 Software &amp; Hardware</t>
  </si>
  <si>
    <t xml:space="preserve">   60170 Independent Contractors</t>
  </si>
  <si>
    <t xml:space="preserve">   60171 In-Kind Services</t>
  </si>
  <si>
    <t>Total Expenses</t>
  </si>
  <si>
    <t>Net Operating Income</t>
  </si>
  <si>
    <t xml:space="preserve">                  2007.8 Wells Fargo - Sharon Stone-1978</t>
  </si>
  <si>
    <t xml:space="preserve">            Sales Tax Agency Payable</t>
  </si>
  <si>
    <t xml:space="preserve">      Total 3800 Temporarily Restricted Assets</t>
  </si>
  <si>
    <t xml:space="preserve">         3800.2 Trudy Schafer Fellowship</t>
  </si>
  <si>
    <t xml:space="preserve">      3800 Temporarily Restricted Assets</t>
  </si>
  <si>
    <t xml:space="preserve">         3701 Board Reserves</t>
  </si>
  <si>
    <t xml:space="preserve">   60061 Virtual Office</t>
  </si>
  <si>
    <t xml:space="preserve">   Inventory Shrinkage</t>
  </si>
  <si>
    <t>Net Other Income</t>
  </si>
  <si>
    <t>Total Other Expenses</t>
  </si>
  <si>
    <t xml:space="preserve">   69000 Other Expense</t>
  </si>
  <si>
    <t>Other Expenses</t>
  </si>
  <si>
    <t xml:space="preserve">   60062 Storage</t>
  </si>
  <si>
    <t xml:space="preserve">      40140 Council/Convention</t>
  </si>
  <si>
    <t>3004 Conventions</t>
  </si>
  <si>
    <t>Budget vs. Actuals: 2022 Budget By Class-FY 2022-2023 - FY23 P&amp;L  Classes</t>
  </si>
  <si>
    <t xml:space="preserve">         3702 Operating Reserves</t>
  </si>
  <si>
    <t xml:space="preserve">            2016 Membership Dues-Due To Leagues</t>
  </si>
  <si>
    <t xml:space="preserve">   Total 40200 Miscellaneous Income -</t>
  </si>
  <si>
    <t xml:space="preserve">      40201 Miscellaneous Income</t>
  </si>
  <si>
    <t xml:space="preserve">   40200 Miscellaneous Income -</t>
  </si>
  <si>
    <t>Wednesday, Nov 02, 2022 02:47:59 PM GMT-7 - Accrual Basis</t>
  </si>
  <si>
    <t xml:space="preserve">            1006 First Republic Checking Account  (7734)</t>
  </si>
  <si>
    <t>As of September 30, 2022</t>
  </si>
  <si>
    <t>Wednesday, Nov 02, 2022 02:55:26 PM GMT-7 - Accrual Basis</t>
  </si>
  <si>
    <t>July - September,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</si>
</sst>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1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6.emf"/><Relationship Id="rId18" Type="http://schemas.openxmlformats.org/officeDocument/2006/relationships/image" Target="../media/image20.emf"/><Relationship Id="rId3" Type="http://schemas.openxmlformats.org/officeDocument/2006/relationships/image" Target="../media/image12.emf"/><Relationship Id="rId7" Type="http://schemas.openxmlformats.org/officeDocument/2006/relationships/image" Target="../media/image10.emf"/><Relationship Id="rId12" Type="http://schemas.openxmlformats.org/officeDocument/2006/relationships/image" Target="../media/image7.emf"/><Relationship Id="rId17" Type="http://schemas.openxmlformats.org/officeDocument/2006/relationships/image" Target="../media/image19.emf"/><Relationship Id="rId2" Type="http://schemas.openxmlformats.org/officeDocument/2006/relationships/image" Target="../media/image13.emf"/><Relationship Id="rId16" Type="http://schemas.openxmlformats.org/officeDocument/2006/relationships/image" Target="../media/image3.emf"/><Relationship Id="rId20" Type="http://schemas.openxmlformats.org/officeDocument/2006/relationships/image" Target="../media/image1.emf"/><Relationship Id="rId1" Type="http://schemas.openxmlformats.org/officeDocument/2006/relationships/image" Target="../media/image14.emf"/><Relationship Id="rId6" Type="http://schemas.openxmlformats.org/officeDocument/2006/relationships/image" Target="../media/image16.emf"/><Relationship Id="rId11" Type="http://schemas.openxmlformats.org/officeDocument/2006/relationships/image" Target="../media/image8.emf"/><Relationship Id="rId5" Type="http://schemas.openxmlformats.org/officeDocument/2006/relationships/image" Target="../media/image15.emf"/><Relationship Id="rId15" Type="http://schemas.openxmlformats.org/officeDocument/2006/relationships/image" Target="../media/image4.emf"/><Relationship Id="rId10" Type="http://schemas.openxmlformats.org/officeDocument/2006/relationships/image" Target="../media/image18.emf"/><Relationship Id="rId19" Type="http://schemas.openxmlformats.org/officeDocument/2006/relationships/image" Target="../media/image2.emf"/><Relationship Id="rId4" Type="http://schemas.openxmlformats.org/officeDocument/2006/relationships/image" Target="../media/image11.emf"/><Relationship Id="rId9" Type="http://schemas.openxmlformats.org/officeDocument/2006/relationships/image" Target="../media/image17.emf"/><Relationship Id="rId1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7.emf"/><Relationship Id="rId13" Type="http://schemas.openxmlformats.org/officeDocument/2006/relationships/image" Target="../media/image26.emf"/><Relationship Id="rId18" Type="http://schemas.openxmlformats.org/officeDocument/2006/relationships/image" Target="../media/image40.emf"/><Relationship Id="rId3" Type="http://schemas.openxmlformats.org/officeDocument/2006/relationships/image" Target="../media/image32.emf"/><Relationship Id="rId7" Type="http://schemas.openxmlformats.org/officeDocument/2006/relationships/image" Target="../media/image28.emf"/><Relationship Id="rId12" Type="http://schemas.openxmlformats.org/officeDocument/2006/relationships/image" Target="../media/image38.emf"/><Relationship Id="rId17" Type="http://schemas.openxmlformats.org/officeDocument/2006/relationships/image" Target="../media/image39.emf"/><Relationship Id="rId2" Type="http://schemas.openxmlformats.org/officeDocument/2006/relationships/image" Target="../media/image34.emf"/><Relationship Id="rId16" Type="http://schemas.openxmlformats.org/officeDocument/2006/relationships/image" Target="../media/image23.emf"/><Relationship Id="rId20" Type="http://schemas.openxmlformats.org/officeDocument/2006/relationships/image" Target="../media/image21.emf"/><Relationship Id="rId1" Type="http://schemas.openxmlformats.org/officeDocument/2006/relationships/image" Target="../media/image33.emf"/><Relationship Id="rId6" Type="http://schemas.openxmlformats.org/officeDocument/2006/relationships/image" Target="../media/image29.emf"/><Relationship Id="rId11" Type="http://schemas.openxmlformats.org/officeDocument/2006/relationships/image" Target="../media/image37.emf"/><Relationship Id="rId5" Type="http://schemas.openxmlformats.org/officeDocument/2006/relationships/image" Target="../media/image30.emf"/><Relationship Id="rId15" Type="http://schemas.openxmlformats.org/officeDocument/2006/relationships/image" Target="../media/image24.emf"/><Relationship Id="rId10" Type="http://schemas.openxmlformats.org/officeDocument/2006/relationships/image" Target="../media/image36.emf"/><Relationship Id="rId19" Type="http://schemas.openxmlformats.org/officeDocument/2006/relationships/image" Target="../media/image22.emf"/><Relationship Id="rId4" Type="http://schemas.openxmlformats.org/officeDocument/2006/relationships/image" Target="../media/image31.emf"/><Relationship Id="rId9" Type="http://schemas.openxmlformats.org/officeDocument/2006/relationships/image" Target="../media/image35.emf"/><Relationship Id="rId14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3" name="Text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4" name="Text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5" name="Text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6" name="Text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7" name="Text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8" name="TextBox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79" name="TextBox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0" name="TextBox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1" name="TextBox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2" name="TextBox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3" name="TextBox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4" name="TextBox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5" name="TextBox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6" name="TextBox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7" name="TextBox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8" name="TextBox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89" name="TextBox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90" name="TextBox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91" name="TextBox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3092" name="TextBox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45" name="Text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46" name="Text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47" name="TextBox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48" name="TextBox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49" name="TextBox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0" name="TextBox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1" name="TextBox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2" name="TextBox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3" name="TextBox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4" name="TextBox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5" name="TextBox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6" name="TextBox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7" name="TextBox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8" name="TextBox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59" name="TextBox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60" name="TextBox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61" name="TextBox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62" name="TextBox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63" name="TextBox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9525</xdr:rowOff>
        </xdr:to>
        <xdr:sp macro="" textlink="">
          <xdr:nvSpPr>
            <xdr:cNvPr id="6164" name="TextBox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control" Target="../activeX/activeX28.xml"/><Relationship Id="rId26" Type="http://schemas.openxmlformats.org/officeDocument/2006/relationships/control" Target="../activeX/activeX32.xml"/><Relationship Id="rId39" Type="http://schemas.openxmlformats.org/officeDocument/2006/relationships/image" Target="../media/image38.emf"/><Relationship Id="rId21" Type="http://schemas.openxmlformats.org/officeDocument/2006/relationships/image" Target="../media/image29.emf"/><Relationship Id="rId34" Type="http://schemas.openxmlformats.org/officeDocument/2006/relationships/control" Target="../activeX/activeX36.xml"/><Relationship Id="rId42" Type="http://schemas.openxmlformats.org/officeDocument/2006/relationships/control" Target="../activeX/activeX40.xml"/><Relationship Id="rId7" Type="http://schemas.openxmlformats.org/officeDocument/2006/relationships/image" Target="../media/image22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7.xml"/><Relationship Id="rId20" Type="http://schemas.openxmlformats.org/officeDocument/2006/relationships/control" Target="../activeX/activeX29.xml"/><Relationship Id="rId29" Type="http://schemas.openxmlformats.org/officeDocument/2006/relationships/image" Target="../media/image33.emf"/><Relationship Id="rId41" Type="http://schemas.openxmlformats.org/officeDocument/2006/relationships/image" Target="../media/image39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2.xml"/><Relationship Id="rId11" Type="http://schemas.openxmlformats.org/officeDocument/2006/relationships/image" Target="../media/image24.emf"/><Relationship Id="rId24" Type="http://schemas.openxmlformats.org/officeDocument/2006/relationships/control" Target="../activeX/activeX31.xml"/><Relationship Id="rId32" Type="http://schemas.openxmlformats.org/officeDocument/2006/relationships/control" Target="../activeX/activeX35.xml"/><Relationship Id="rId37" Type="http://schemas.openxmlformats.org/officeDocument/2006/relationships/image" Target="../media/image37.emf"/><Relationship Id="rId40" Type="http://schemas.openxmlformats.org/officeDocument/2006/relationships/control" Target="../activeX/activeX39.xml"/><Relationship Id="rId5" Type="http://schemas.openxmlformats.org/officeDocument/2006/relationships/image" Target="../media/image21.emf"/><Relationship Id="rId15" Type="http://schemas.openxmlformats.org/officeDocument/2006/relationships/image" Target="../media/image26.emf"/><Relationship Id="rId23" Type="http://schemas.openxmlformats.org/officeDocument/2006/relationships/image" Target="../media/image30.emf"/><Relationship Id="rId28" Type="http://schemas.openxmlformats.org/officeDocument/2006/relationships/control" Target="../activeX/activeX33.xml"/><Relationship Id="rId36" Type="http://schemas.openxmlformats.org/officeDocument/2006/relationships/control" Target="../activeX/activeX37.xml"/><Relationship Id="rId10" Type="http://schemas.openxmlformats.org/officeDocument/2006/relationships/control" Target="../activeX/activeX24.xml"/><Relationship Id="rId19" Type="http://schemas.openxmlformats.org/officeDocument/2006/relationships/image" Target="../media/image28.emf"/><Relationship Id="rId31" Type="http://schemas.openxmlformats.org/officeDocument/2006/relationships/image" Target="../media/image34.emf"/><Relationship Id="rId4" Type="http://schemas.openxmlformats.org/officeDocument/2006/relationships/control" Target="../activeX/activeX21.xml"/><Relationship Id="rId9" Type="http://schemas.openxmlformats.org/officeDocument/2006/relationships/image" Target="../media/image23.emf"/><Relationship Id="rId14" Type="http://schemas.openxmlformats.org/officeDocument/2006/relationships/control" Target="../activeX/activeX26.xml"/><Relationship Id="rId22" Type="http://schemas.openxmlformats.org/officeDocument/2006/relationships/control" Target="../activeX/activeX30.xml"/><Relationship Id="rId27" Type="http://schemas.openxmlformats.org/officeDocument/2006/relationships/image" Target="../media/image32.emf"/><Relationship Id="rId30" Type="http://schemas.openxmlformats.org/officeDocument/2006/relationships/control" Target="../activeX/activeX34.xml"/><Relationship Id="rId35" Type="http://schemas.openxmlformats.org/officeDocument/2006/relationships/image" Target="../media/image36.emf"/><Relationship Id="rId43" Type="http://schemas.openxmlformats.org/officeDocument/2006/relationships/image" Target="../media/image40.emf"/><Relationship Id="rId8" Type="http://schemas.openxmlformats.org/officeDocument/2006/relationships/control" Target="../activeX/activeX23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25.xml"/><Relationship Id="rId17" Type="http://schemas.openxmlformats.org/officeDocument/2006/relationships/image" Target="../media/image27.emf"/><Relationship Id="rId25" Type="http://schemas.openxmlformats.org/officeDocument/2006/relationships/image" Target="../media/image31.emf"/><Relationship Id="rId33" Type="http://schemas.openxmlformats.org/officeDocument/2006/relationships/image" Target="../media/image35.emf"/><Relationship Id="rId38" Type="http://schemas.openxmlformats.org/officeDocument/2006/relationships/control" Target="../activeX/activeX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8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5" sqref="F15"/>
    </sheetView>
  </sheetViews>
  <sheetFormatPr defaultRowHeight="15" x14ac:dyDescent="0.25"/>
  <cols>
    <col min="1" max="1" width="49" customWidth="1"/>
    <col min="2" max="2" width="31.7109375" customWidth="1"/>
  </cols>
  <sheetData>
    <row r="1" spans="1:2" ht="18" x14ac:dyDescent="0.25">
      <c r="A1" s="7" t="s">
        <v>85</v>
      </c>
      <c r="B1" s="8"/>
    </row>
    <row r="2" spans="1:2" ht="18" x14ac:dyDescent="0.25">
      <c r="A2" s="7" t="s">
        <v>84</v>
      </c>
      <c r="B2" s="8"/>
    </row>
    <row r="3" spans="1:2" x14ac:dyDescent="0.25">
      <c r="A3" s="9" t="s">
        <v>165</v>
      </c>
      <c r="B3" s="8"/>
    </row>
    <row r="5" spans="1:2" x14ac:dyDescent="0.25">
      <c r="A5" s="1"/>
      <c r="B5" s="6" t="s">
        <v>83</v>
      </c>
    </row>
    <row r="6" spans="1:2" x14ac:dyDescent="0.25">
      <c r="A6" s="3" t="s">
        <v>0</v>
      </c>
      <c r="B6" s="2"/>
    </row>
    <row r="7" spans="1:2" x14ac:dyDescent="0.25">
      <c r="A7" s="3" t="s">
        <v>82</v>
      </c>
      <c r="B7" s="2"/>
    </row>
    <row r="8" spans="1:2" x14ac:dyDescent="0.25">
      <c r="A8" s="3" t="s">
        <v>81</v>
      </c>
      <c r="B8" s="2"/>
    </row>
    <row r="9" spans="1:2" x14ac:dyDescent="0.25">
      <c r="A9" s="3" t="s">
        <v>80</v>
      </c>
      <c r="B9" s="5">
        <f>0</f>
        <v>0</v>
      </c>
    </row>
    <row r="10" spans="1:2" x14ac:dyDescent="0.25">
      <c r="A10" s="3" t="s">
        <v>79</v>
      </c>
      <c r="B10" s="5">
        <f>52870.6</f>
        <v>52870.6</v>
      </c>
    </row>
    <row r="11" spans="1:2" x14ac:dyDescent="0.25">
      <c r="A11" s="3" t="s">
        <v>164</v>
      </c>
      <c r="B11" s="5">
        <f>180615.51</f>
        <v>180615.51</v>
      </c>
    </row>
    <row r="12" spans="1:2" x14ac:dyDescent="0.25">
      <c r="A12" s="3" t="s">
        <v>78</v>
      </c>
      <c r="B12" s="5">
        <f>0.33</f>
        <v>0.33</v>
      </c>
    </row>
    <row r="13" spans="1:2" x14ac:dyDescent="0.25">
      <c r="A13" s="3" t="s">
        <v>77</v>
      </c>
      <c r="B13" s="5">
        <f>0</f>
        <v>0</v>
      </c>
    </row>
    <row r="14" spans="1:2" x14ac:dyDescent="0.25">
      <c r="A14" s="3" t="s">
        <v>76</v>
      </c>
      <c r="B14" s="5">
        <f>16701.83</f>
        <v>16701.830000000002</v>
      </c>
    </row>
    <row r="15" spans="1:2" x14ac:dyDescent="0.25">
      <c r="A15" s="3" t="s">
        <v>75</v>
      </c>
      <c r="B15" s="4">
        <f>(B13)+(B14)</f>
        <v>16701.830000000002</v>
      </c>
    </row>
    <row r="16" spans="1:2" x14ac:dyDescent="0.25">
      <c r="A16" s="3" t="s">
        <v>74</v>
      </c>
      <c r="B16" s="4">
        <f>((((B9)+(B10))+(B11))+(B12))+(B15)</f>
        <v>250188.27000000002</v>
      </c>
    </row>
    <row r="17" spans="1:2" x14ac:dyDescent="0.25">
      <c r="A17" s="3" t="s">
        <v>73</v>
      </c>
      <c r="B17" s="4">
        <f>B16</f>
        <v>250188.27000000002</v>
      </c>
    </row>
    <row r="18" spans="1:2" x14ac:dyDescent="0.25">
      <c r="A18" s="3" t="s">
        <v>72</v>
      </c>
      <c r="B18" s="2"/>
    </row>
    <row r="19" spans="1:2" x14ac:dyDescent="0.25">
      <c r="A19" s="3" t="s">
        <v>71</v>
      </c>
      <c r="B19" s="5">
        <f>128246.38</f>
        <v>128246.38</v>
      </c>
    </row>
    <row r="20" spans="1:2" x14ac:dyDescent="0.25">
      <c r="A20" s="3" t="s">
        <v>70</v>
      </c>
      <c r="B20" s="4">
        <f>B19</f>
        <v>128246.38</v>
      </c>
    </row>
    <row r="21" spans="1:2" x14ac:dyDescent="0.25">
      <c r="A21" s="3" t="s">
        <v>69</v>
      </c>
      <c r="B21" s="2"/>
    </row>
    <row r="22" spans="1:2" x14ac:dyDescent="0.25">
      <c r="A22" s="3" t="s">
        <v>68</v>
      </c>
      <c r="B22" s="5">
        <f>2315.27</f>
        <v>2315.27</v>
      </c>
    </row>
    <row r="23" spans="1:2" x14ac:dyDescent="0.25">
      <c r="A23" s="3" t="s">
        <v>67</v>
      </c>
      <c r="B23" s="5">
        <f>377.42</f>
        <v>377.42</v>
      </c>
    </row>
    <row r="24" spans="1:2" x14ac:dyDescent="0.25">
      <c r="A24" s="3" t="s">
        <v>66</v>
      </c>
      <c r="B24" s="5">
        <f>33335.57</f>
        <v>33335.57</v>
      </c>
    </row>
    <row r="25" spans="1:2" x14ac:dyDescent="0.25">
      <c r="A25" s="3" t="s">
        <v>65</v>
      </c>
      <c r="B25" s="5">
        <f>14175.09</f>
        <v>14175.09</v>
      </c>
    </row>
    <row r="26" spans="1:2" x14ac:dyDescent="0.25">
      <c r="A26" s="3" t="s">
        <v>64</v>
      </c>
      <c r="B26" s="5">
        <f>14008.66</f>
        <v>14008.66</v>
      </c>
    </row>
    <row r="27" spans="1:2" x14ac:dyDescent="0.25">
      <c r="A27" s="3" t="s">
        <v>63</v>
      </c>
      <c r="B27" s="4">
        <f>((((B22)+(B23))+(B24))+(B25))+(B26)</f>
        <v>64212.010000000009</v>
      </c>
    </row>
    <row r="28" spans="1:2" x14ac:dyDescent="0.25">
      <c r="A28" s="3" t="s">
        <v>62</v>
      </c>
      <c r="B28" s="4">
        <f>((B17)+(B20))+(B27)</f>
        <v>442646.66000000003</v>
      </c>
    </row>
    <row r="29" spans="1:2" x14ac:dyDescent="0.25">
      <c r="A29" s="3" t="s">
        <v>61</v>
      </c>
      <c r="B29" s="2"/>
    </row>
    <row r="30" spans="1:2" x14ac:dyDescent="0.25">
      <c r="A30" s="3" t="s">
        <v>60</v>
      </c>
      <c r="B30" s="5">
        <f>3807</f>
        <v>3807</v>
      </c>
    </row>
    <row r="31" spans="1:2" x14ac:dyDescent="0.25">
      <c r="A31" s="3" t="s">
        <v>59</v>
      </c>
      <c r="B31" s="5">
        <f>-3807</f>
        <v>-3807</v>
      </c>
    </row>
    <row r="32" spans="1:2" x14ac:dyDescent="0.25">
      <c r="A32" s="3" t="s">
        <v>58</v>
      </c>
      <c r="B32" s="4">
        <f>(B30)+(B31)</f>
        <v>0</v>
      </c>
    </row>
    <row r="33" spans="1:2" x14ac:dyDescent="0.25">
      <c r="A33" s="3" t="s">
        <v>57</v>
      </c>
      <c r="B33" s="2"/>
    </row>
    <row r="34" spans="1:2" x14ac:dyDescent="0.25">
      <c r="A34" s="3" t="s">
        <v>56</v>
      </c>
      <c r="B34" s="5">
        <f>2698.25</f>
        <v>2698.25</v>
      </c>
    </row>
    <row r="35" spans="1:2" x14ac:dyDescent="0.25">
      <c r="A35" s="3" t="s">
        <v>55</v>
      </c>
      <c r="B35" s="4">
        <f>B34</f>
        <v>2698.25</v>
      </c>
    </row>
    <row r="36" spans="1:2" x14ac:dyDescent="0.25">
      <c r="A36" s="3" t="s">
        <v>1</v>
      </c>
      <c r="B36" s="4">
        <f>((B28)+(B32))+(B35)</f>
        <v>445344.91000000003</v>
      </c>
    </row>
    <row r="37" spans="1:2" x14ac:dyDescent="0.25">
      <c r="A37" s="3" t="s">
        <v>54</v>
      </c>
      <c r="B37" s="2"/>
    </row>
    <row r="38" spans="1:2" x14ac:dyDescent="0.25">
      <c r="A38" s="3" t="s">
        <v>53</v>
      </c>
      <c r="B38" s="2"/>
    </row>
    <row r="39" spans="1:2" x14ac:dyDescent="0.25">
      <c r="A39" s="3" t="s">
        <v>52</v>
      </c>
      <c r="B39" s="2"/>
    </row>
    <row r="40" spans="1:2" x14ac:dyDescent="0.25">
      <c r="A40" s="3" t="s">
        <v>51</v>
      </c>
      <c r="B40" s="2"/>
    </row>
    <row r="41" spans="1:2" x14ac:dyDescent="0.25">
      <c r="A41" s="3" t="s">
        <v>50</v>
      </c>
      <c r="B41" s="5">
        <f>11020.5</f>
        <v>11020.5</v>
      </c>
    </row>
    <row r="42" spans="1:2" x14ac:dyDescent="0.25">
      <c r="A42" s="3" t="s">
        <v>49</v>
      </c>
      <c r="B42" s="4">
        <f>B41</f>
        <v>11020.5</v>
      </c>
    </row>
    <row r="43" spans="1:2" x14ac:dyDescent="0.25">
      <c r="A43" s="3" t="s">
        <v>48</v>
      </c>
      <c r="B43" s="2"/>
    </row>
    <row r="44" spans="1:2" x14ac:dyDescent="0.25">
      <c r="A44" s="3" t="s">
        <v>47</v>
      </c>
      <c r="B44" s="5">
        <f>0</f>
        <v>0</v>
      </c>
    </row>
    <row r="45" spans="1:2" x14ac:dyDescent="0.25">
      <c r="A45" s="3" t="s">
        <v>46</v>
      </c>
      <c r="B45" s="5">
        <f>0</f>
        <v>0</v>
      </c>
    </row>
    <row r="46" spans="1:2" x14ac:dyDescent="0.25">
      <c r="A46" s="3" t="s">
        <v>45</v>
      </c>
      <c r="B46" s="5">
        <f>6437.72</f>
        <v>6437.72</v>
      </c>
    </row>
    <row r="47" spans="1:2" x14ac:dyDescent="0.25">
      <c r="A47" s="3" t="s">
        <v>142</v>
      </c>
      <c r="B47" s="5">
        <f>766.23</f>
        <v>766.23</v>
      </c>
    </row>
    <row r="48" spans="1:2" x14ac:dyDescent="0.25">
      <c r="A48" s="3" t="s">
        <v>44</v>
      </c>
      <c r="B48" s="4">
        <f>((B45)+(B46))+(B47)</f>
        <v>7203.9500000000007</v>
      </c>
    </row>
    <row r="49" spans="1:2" x14ac:dyDescent="0.25">
      <c r="A49" s="3" t="s">
        <v>43</v>
      </c>
      <c r="B49" s="4">
        <f>(B44)+(B48)</f>
        <v>7203.9500000000007</v>
      </c>
    </row>
    <row r="50" spans="1:2" x14ac:dyDescent="0.25">
      <c r="A50" s="3" t="s">
        <v>42</v>
      </c>
      <c r="B50" s="4">
        <f>B49</f>
        <v>7203.9500000000007</v>
      </c>
    </row>
    <row r="51" spans="1:2" x14ac:dyDescent="0.25">
      <c r="A51" s="3" t="s">
        <v>41</v>
      </c>
      <c r="B51" s="2"/>
    </row>
    <row r="52" spans="1:2" x14ac:dyDescent="0.25">
      <c r="A52" s="3" t="s">
        <v>40</v>
      </c>
      <c r="B52" s="5">
        <f>0</f>
        <v>0</v>
      </c>
    </row>
    <row r="53" spans="1:2" x14ac:dyDescent="0.25">
      <c r="A53" s="3" t="s">
        <v>39</v>
      </c>
      <c r="B53" s="5">
        <f>1150</f>
        <v>1150</v>
      </c>
    </row>
    <row r="54" spans="1:2" x14ac:dyDescent="0.25">
      <c r="A54" s="3" t="s">
        <v>38</v>
      </c>
      <c r="B54" s="5">
        <f>3630.13</f>
        <v>3630.13</v>
      </c>
    </row>
    <row r="55" spans="1:2" x14ac:dyDescent="0.25">
      <c r="A55" s="3" t="s">
        <v>37</v>
      </c>
      <c r="B55" s="4">
        <f>((B52)+(B53))+(B54)</f>
        <v>4780.13</v>
      </c>
    </row>
    <row r="56" spans="1:2" x14ac:dyDescent="0.25">
      <c r="A56" s="3" t="s">
        <v>159</v>
      </c>
      <c r="B56" s="5">
        <f>255</f>
        <v>255</v>
      </c>
    </row>
    <row r="57" spans="1:2" x14ac:dyDescent="0.25">
      <c r="A57" s="3" t="s">
        <v>36</v>
      </c>
      <c r="B57" s="5">
        <f>0</f>
        <v>0</v>
      </c>
    </row>
    <row r="58" spans="1:2" x14ac:dyDescent="0.25">
      <c r="A58" s="3" t="s">
        <v>35</v>
      </c>
      <c r="B58" s="5">
        <f>14236.08</f>
        <v>14236.08</v>
      </c>
    </row>
    <row r="59" spans="1:2" x14ac:dyDescent="0.25">
      <c r="A59" s="3" t="s">
        <v>34</v>
      </c>
      <c r="B59" s="4">
        <f>(B57)+(B58)</f>
        <v>14236.08</v>
      </c>
    </row>
    <row r="60" spans="1:2" x14ac:dyDescent="0.25">
      <c r="A60" s="3" t="s">
        <v>33</v>
      </c>
      <c r="B60" s="5">
        <f>89.6</f>
        <v>89.6</v>
      </c>
    </row>
    <row r="61" spans="1:2" x14ac:dyDescent="0.25">
      <c r="A61" s="3" t="s">
        <v>32</v>
      </c>
      <c r="B61" s="5">
        <f>70</f>
        <v>70</v>
      </c>
    </row>
    <row r="62" spans="1:2" x14ac:dyDescent="0.25">
      <c r="A62" s="3" t="s">
        <v>143</v>
      </c>
      <c r="B62" s="5">
        <f>128.78</f>
        <v>128.78</v>
      </c>
    </row>
    <row r="63" spans="1:2" x14ac:dyDescent="0.25">
      <c r="A63" s="3" t="s">
        <v>31</v>
      </c>
      <c r="B63" s="4">
        <f>(((((B55)+(B56))+(B59))+(B60))+(B61))+(B62)</f>
        <v>19559.589999999997</v>
      </c>
    </row>
    <row r="64" spans="1:2" x14ac:dyDescent="0.25">
      <c r="A64" s="3" t="s">
        <v>30</v>
      </c>
      <c r="B64" s="4">
        <f>((B42)+(B50))+(B63)</f>
        <v>37784.039999999994</v>
      </c>
    </row>
    <row r="65" spans="1:2" x14ac:dyDescent="0.25">
      <c r="A65" s="3" t="s">
        <v>29</v>
      </c>
      <c r="B65" s="2"/>
    </row>
    <row r="66" spans="1:2" x14ac:dyDescent="0.25">
      <c r="A66" s="3" t="s">
        <v>28</v>
      </c>
      <c r="B66" s="5">
        <f>858.72</f>
        <v>858.72</v>
      </c>
    </row>
    <row r="67" spans="1:2" x14ac:dyDescent="0.25">
      <c r="A67" s="3" t="s">
        <v>27</v>
      </c>
      <c r="B67" s="4">
        <f>B66</f>
        <v>858.72</v>
      </c>
    </row>
    <row r="68" spans="1:2" x14ac:dyDescent="0.25">
      <c r="A68" s="3" t="s">
        <v>26</v>
      </c>
      <c r="B68" s="4">
        <f>(B64)+(B67)</f>
        <v>38642.759999999995</v>
      </c>
    </row>
    <row r="69" spans="1:2" x14ac:dyDescent="0.25">
      <c r="A69" s="3" t="s">
        <v>25</v>
      </c>
      <c r="B69" s="2"/>
    </row>
    <row r="70" spans="1:2" x14ac:dyDescent="0.25">
      <c r="A70" s="3" t="s">
        <v>24</v>
      </c>
      <c r="B70" s="5">
        <f>161336.53</f>
        <v>161336.53</v>
      </c>
    </row>
    <row r="71" spans="1:2" x14ac:dyDescent="0.25">
      <c r="A71" s="3" t="s">
        <v>23</v>
      </c>
      <c r="B71" s="2"/>
    </row>
    <row r="72" spans="1:2" x14ac:dyDescent="0.25">
      <c r="A72" s="3" t="s">
        <v>147</v>
      </c>
      <c r="B72" s="5">
        <f>21353.46</f>
        <v>21353.46</v>
      </c>
    </row>
    <row r="73" spans="1:2" x14ac:dyDescent="0.25">
      <c r="A73" s="3" t="s">
        <v>158</v>
      </c>
      <c r="B73" s="5">
        <f>95480.42</f>
        <v>95480.42</v>
      </c>
    </row>
    <row r="74" spans="1:2" x14ac:dyDescent="0.25">
      <c r="A74" s="3" t="s">
        <v>22</v>
      </c>
      <c r="B74" s="4">
        <f>((B71)+(B72))+(B73)</f>
        <v>116833.88</v>
      </c>
    </row>
    <row r="75" spans="1:2" x14ac:dyDescent="0.25">
      <c r="A75" s="3" t="s">
        <v>146</v>
      </c>
      <c r="B75" s="2"/>
    </row>
    <row r="76" spans="1:2" x14ac:dyDescent="0.25">
      <c r="A76" s="3" t="s">
        <v>145</v>
      </c>
      <c r="B76" s="5">
        <f>44914.67</f>
        <v>44914.67</v>
      </c>
    </row>
    <row r="77" spans="1:2" x14ac:dyDescent="0.25">
      <c r="A77" s="3" t="s">
        <v>144</v>
      </c>
      <c r="B77" s="4">
        <f>(B75)+(B76)</f>
        <v>44914.67</v>
      </c>
    </row>
    <row r="78" spans="1:2" x14ac:dyDescent="0.25">
      <c r="A78" s="3" t="s">
        <v>21</v>
      </c>
      <c r="B78" s="5">
        <f>83617.07</f>
        <v>83617.070000000007</v>
      </c>
    </row>
    <row r="79" spans="1:2" x14ac:dyDescent="0.25">
      <c r="A79" s="3" t="s">
        <v>20</v>
      </c>
      <c r="B79" s="4">
        <f>(((B70)+(B74))+(B77))+(B78)</f>
        <v>406702.15</v>
      </c>
    </row>
    <row r="80" spans="1:2" x14ac:dyDescent="0.25">
      <c r="A80" s="3" t="s">
        <v>19</v>
      </c>
      <c r="B80" s="4">
        <f>(B68)+(B79)</f>
        <v>445344.91000000003</v>
      </c>
    </row>
    <row r="81" spans="1:2" x14ac:dyDescent="0.25">
      <c r="A81" s="3"/>
      <c r="B81" s="2"/>
    </row>
    <row r="84" spans="1:2" x14ac:dyDescent="0.25">
      <c r="A84" s="10" t="s">
        <v>163</v>
      </c>
      <c r="B84" s="8"/>
    </row>
  </sheetData>
  <mergeCells count="4">
    <mergeCell ref="A1:B1"/>
    <mergeCell ref="A2:B2"/>
    <mergeCell ref="A3:B3"/>
    <mergeCell ref="A84:B84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92" r:id="rId4" name="TextBox20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92" r:id="rId4" name="TextBox20"/>
      </mc:Fallback>
    </mc:AlternateContent>
    <mc:AlternateContent xmlns:mc="http://schemas.openxmlformats.org/markup-compatibility/2006">
      <mc:Choice Requires="x14">
        <control shapeId="3091" r:id="rId6" name="TextBox19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91" r:id="rId6" name="TextBox19"/>
      </mc:Fallback>
    </mc:AlternateContent>
    <mc:AlternateContent xmlns:mc="http://schemas.openxmlformats.org/markup-compatibility/2006">
      <mc:Choice Requires="x14">
        <control shapeId="3088" r:id="rId8" name="TextBox16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8" r:id="rId8" name="TextBox16"/>
      </mc:Fallback>
    </mc:AlternateContent>
    <mc:AlternateContent xmlns:mc="http://schemas.openxmlformats.org/markup-compatibility/2006">
      <mc:Choice Requires="x14">
        <control shapeId="3087" r:id="rId10" name="TextBox15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7" r:id="rId10" name="TextBox15"/>
      </mc:Fallback>
    </mc:AlternateContent>
    <mc:AlternateContent xmlns:mc="http://schemas.openxmlformats.org/markup-compatibility/2006">
      <mc:Choice Requires="x14">
        <control shapeId="3086" r:id="rId12" name="TextBox14">
          <controlPr defaultSize="0" autoLine="0" r:id="rId1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6" r:id="rId12" name="TextBox14"/>
      </mc:Fallback>
    </mc:AlternateContent>
    <mc:AlternateContent xmlns:mc="http://schemas.openxmlformats.org/markup-compatibility/2006">
      <mc:Choice Requires="x14">
        <control shapeId="3085" r:id="rId14" name="TextBox13">
          <controlPr defaultSize="0" autoLine="0" r:id="rId1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5" r:id="rId14" name="TextBox13"/>
      </mc:Fallback>
    </mc:AlternateContent>
    <mc:AlternateContent xmlns:mc="http://schemas.openxmlformats.org/markup-compatibility/2006">
      <mc:Choice Requires="x14">
        <control shapeId="3084" r:id="rId16" name="TextBox12">
          <controlPr defaultSize="0" autoLine="0" r:id="rId1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4" r:id="rId16" name="TextBox12"/>
      </mc:Fallback>
    </mc:AlternateContent>
    <mc:AlternateContent xmlns:mc="http://schemas.openxmlformats.org/markup-compatibility/2006">
      <mc:Choice Requires="x14">
        <control shapeId="3083" r:id="rId18" name="TextBox11">
          <controlPr defaultSize="0" autoLine="0" r:id="rId1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3" r:id="rId18" name="TextBox11"/>
      </mc:Fallback>
    </mc:AlternateContent>
    <mc:AlternateContent xmlns:mc="http://schemas.openxmlformats.org/markup-compatibility/2006">
      <mc:Choice Requires="x14">
        <control shapeId="3080" r:id="rId20" name="TextBox8">
          <controlPr defaultSize="0" autoLine="0" r:id="rId2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0" r:id="rId20" name="TextBox8"/>
      </mc:Fallback>
    </mc:AlternateContent>
    <mc:AlternateContent xmlns:mc="http://schemas.openxmlformats.org/markup-compatibility/2006">
      <mc:Choice Requires="x14">
        <control shapeId="3079" r:id="rId22" name="TextBox7">
          <controlPr defaultSize="0" autoLine="0" r:id="rId2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9" r:id="rId22" name="TextBox7"/>
      </mc:Fallback>
    </mc:AlternateContent>
    <mc:AlternateContent xmlns:mc="http://schemas.openxmlformats.org/markup-compatibility/2006">
      <mc:Choice Requires="x14">
        <control shapeId="3076" r:id="rId24" name="TextBox4">
          <controlPr defaultSize="0" autoLine="0" r:id="rId2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6" r:id="rId24" name="TextBox4"/>
      </mc:Fallback>
    </mc:AlternateContent>
    <mc:AlternateContent xmlns:mc="http://schemas.openxmlformats.org/markup-compatibility/2006">
      <mc:Choice Requires="x14">
        <control shapeId="3075" r:id="rId26" name="TextBox3">
          <controlPr defaultSize="0" autoLine="0" r:id="rId2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5" r:id="rId26" name="TextBox3"/>
      </mc:Fallback>
    </mc:AlternateContent>
    <mc:AlternateContent xmlns:mc="http://schemas.openxmlformats.org/markup-compatibility/2006">
      <mc:Choice Requires="x14">
        <control shapeId="3074" r:id="rId28" name="TextBox2">
          <controlPr defaultSize="0" autoLine="0" r:id="rId2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4" r:id="rId28" name="TextBox2"/>
      </mc:Fallback>
    </mc:AlternateContent>
    <mc:AlternateContent xmlns:mc="http://schemas.openxmlformats.org/markup-compatibility/2006">
      <mc:Choice Requires="x14">
        <control shapeId="3073" r:id="rId30" name="TextBox1">
          <controlPr defaultSize="0" autoLine="0" r:id="rId3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3" r:id="rId30" name="TextBox1"/>
      </mc:Fallback>
    </mc:AlternateContent>
    <mc:AlternateContent xmlns:mc="http://schemas.openxmlformats.org/markup-compatibility/2006">
      <mc:Choice Requires="x14">
        <control shapeId="3077" r:id="rId32" name="TextBox5">
          <controlPr defaultSize="0" autoLine="0" r:id="rId3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7" r:id="rId32" name="TextBox5"/>
      </mc:Fallback>
    </mc:AlternateContent>
    <mc:AlternateContent xmlns:mc="http://schemas.openxmlformats.org/markup-compatibility/2006">
      <mc:Choice Requires="x14">
        <control shapeId="3078" r:id="rId34" name="TextBox6">
          <controlPr defaultSize="0" autoLine="0" r:id="rId3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78" r:id="rId34" name="TextBox6"/>
      </mc:Fallback>
    </mc:AlternateContent>
    <mc:AlternateContent xmlns:mc="http://schemas.openxmlformats.org/markup-compatibility/2006">
      <mc:Choice Requires="x14">
        <control shapeId="3081" r:id="rId36" name="TextBox9">
          <controlPr defaultSize="0" autoLine="0" r:id="rId3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1" r:id="rId36" name="TextBox9"/>
      </mc:Fallback>
    </mc:AlternateContent>
    <mc:AlternateContent xmlns:mc="http://schemas.openxmlformats.org/markup-compatibility/2006">
      <mc:Choice Requires="x14">
        <control shapeId="3082" r:id="rId38" name="TextBox10">
          <controlPr defaultSize="0" autoLine="0" r:id="rId3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2" r:id="rId38" name="TextBox10"/>
      </mc:Fallback>
    </mc:AlternateContent>
    <mc:AlternateContent xmlns:mc="http://schemas.openxmlformats.org/markup-compatibility/2006">
      <mc:Choice Requires="x14">
        <control shapeId="3089" r:id="rId40" name="TextBox17">
          <controlPr defaultSize="0" autoLine="0" r:id="rId4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89" r:id="rId40" name="TextBox17"/>
      </mc:Fallback>
    </mc:AlternateContent>
    <mc:AlternateContent xmlns:mc="http://schemas.openxmlformats.org/markup-compatibility/2006">
      <mc:Choice Requires="x14">
        <control shapeId="3090" r:id="rId42" name="TextBox18">
          <controlPr defaultSize="0" autoLine="0" r:id="rId4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3090" r:id="rId42" name="TextBox1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M74"/>
  <sheetViews>
    <sheetView workbookViewId="0">
      <pane xSplit="1" ySplit="6" topLeftCell="AI7" activePane="bottomRight" state="frozen"/>
      <selection pane="topRight" activeCell="B1" sqref="B1"/>
      <selection pane="bottomLeft" activeCell="A7" sqref="A7"/>
      <selection pane="bottomRight" activeCell="AW29" sqref="AW29"/>
    </sheetView>
  </sheetViews>
  <sheetFormatPr defaultRowHeight="15" x14ac:dyDescent="0.25"/>
  <cols>
    <col min="1" max="1" width="46.42578125" customWidth="1"/>
    <col min="2" max="4" width="10.28515625" customWidth="1"/>
    <col min="5" max="5" width="11.28515625" customWidth="1"/>
    <col min="6" max="7" width="10.28515625" customWidth="1"/>
    <col min="8" max="8" width="9.42578125" customWidth="1"/>
    <col min="9" max="9" width="10.28515625" customWidth="1"/>
    <col min="10" max="13" width="7.7109375" customWidth="1"/>
    <col min="14" max="14" width="10.28515625" customWidth="1"/>
    <col min="15" max="15" width="11.28515625" customWidth="1"/>
    <col min="16" max="17" width="10.28515625" customWidth="1"/>
    <col min="18" max="21" width="11.28515625" customWidth="1"/>
    <col min="22" max="23" width="10.28515625" customWidth="1"/>
    <col min="24" max="25" width="7.7109375" customWidth="1"/>
    <col min="26" max="29" width="9.42578125" customWidth="1"/>
    <col min="30" max="30" width="11.28515625" customWidth="1"/>
    <col min="31" max="31" width="12" customWidth="1"/>
    <col min="32" max="32" width="9.42578125" customWidth="1"/>
    <col min="33" max="33" width="10.28515625" customWidth="1"/>
    <col min="34" max="34" width="11.28515625" customWidth="1"/>
    <col min="35" max="35" width="12" customWidth="1"/>
    <col min="36" max="36" width="11.28515625" customWidth="1"/>
    <col min="37" max="37" width="12" customWidth="1"/>
    <col min="38" max="39" width="10.28515625" customWidth="1"/>
  </cols>
  <sheetData>
    <row r="1" spans="1:39" ht="18" x14ac:dyDescent="0.25">
      <c r="A1" s="7" t="s">
        <v>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8" x14ac:dyDescent="0.25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5">
      <c r="A3" s="9" t="s">
        <v>167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5" spans="1:39" x14ac:dyDescent="0.25">
      <c r="A5" s="1"/>
      <c r="B5" s="11" t="s">
        <v>86</v>
      </c>
      <c r="C5" s="12"/>
      <c r="D5" s="11" t="s">
        <v>3</v>
      </c>
      <c r="E5" s="12"/>
      <c r="F5" s="11" t="s">
        <v>9</v>
      </c>
      <c r="G5" s="12"/>
      <c r="H5" s="11" t="s">
        <v>87</v>
      </c>
      <c r="I5" s="12"/>
      <c r="J5" s="11" t="s">
        <v>88</v>
      </c>
      <c r="K5" s="12"/>
      <c r="L5" s="11" t="s">
        <v>89</v>
      </c>
      <c r="M5" s="12"/>
      <c r="N5" s="11" t="s">
        <v>17</v>
      </c>
      <c r="O5" s="12"/>
      <c r="P5" s="11" t="s">
        <v>18</v>
      </c>
      <c r="Q5" s="12"/>
      <c r="R5" s="11" t="s">
        <v>90</v>
      </c>
      <c r="S5" s="12"/>
      <c r="T5" s="11" t="s">
        <v>4</v>
      </c>
      <c r="U5" s="12"/>
      <c r="V5" s="11" t="s">
        <v>156</v>
      </c>
      <c r="W5" s="12"/>
      <c r="X5" s="11" t="s">
        <v>91</v>
      </c>
      <c r="Y5" s="12"/>
      <c r="Z5" s="11" t="s">
        <v>5</v>
      </c>
      <c r="AA5" s="12"/>
      <c r="AB5" s="11" t="s">
        <v>6</v>
      </c>
      <c r="AC5" s="12"/>
      <c r="AD5" s="11" t="s">
        <v>92</v>
      </c>
      <c r="AE5" s="12"/>
      <c r="AF5" s="11" t="s">
        <v>7</v>
      </c>
      <c r="AG5" s="12"/>
      <c r="AH5" s="11" t="s">
        <v>8</v>
      </c>
      <c r="AI5" s="12"/>
      <c r="AJ5" s="11" t="s">
        <v>10</v>
      </c>
      <c r="AK5" s="12"/>
      <c r="AL5" s="11" t="s">
        <v>11</v>
      </c>
      <c r="AM5" s="12"/>
    </row>
    <row r="6" spans="1:39" x14ac:dyDescent="0.25">
      <c r="A6" s="1"/>
      <c r="B6" s="6" t="s">
        <v>93</v>
      </c>
      <c r="C6" s="6" t="s">
        <v>12</v>
      </c>
      <c r="D6" s="6" t="s">
        <v>93</v>
      </c>
      <c r="E6" s="6" t="s">
        <v>12</v>
      </c>
      <c r="F6" s="6" t="s">
        <v>93</v>
      </c>
      <c r="G6" s="6" t="s">
        <v>12</v>
      </c>
      <c r="H6" s="6" t="s">
        <v>93</v>
      </c>
      <c r="I6" s="6" t="s">
        <v>12</v>
      </c>
      <c r="J6" s="6" t="s">
        <v>93</v>
      </c>
      <c r="K6" s="6" t="s">
        <v>12</v>
      </c>
      <c r="L6" s="6" t="s">
        <v>93</v>
      </c>
      <c r="M6" s="6" t="s">
        <v>12</v>
      </c>
      <c r="N6" s="6" t="s">
        <v>93</v>
      </c>
      <c r="O6" s="6" t="s">
        <v>12</v>
      </c>
      <c r="P6" s="6" t="s">
        <v>93</v>
      </c>
      <c r="Q6" s="6" t="s">
        <v>12</v>
      </c>
      <c r="R6" s="6" t="s">
        <v>93</v>
      </c>
      <c r="S6" s="6" t="s">
        <v>12</v>
      </c>
      <c r="T6" s="6" t="s">
        <v>93</v>
      </c>
      <c r="U6" s="6" t="s">
        <v>12</v>
      </c>
      <c r="V6" s="6" t="s">
        <v>93</v>
      </c>
      <c r="W6" s="6" t="s">
        <v>12</v>
      </c>
      <c r="X6" s="6" t="s">
        <v>93</v>
      </c>
      <c r="Y6" s="6" t="s">
        <v>12</v>
      </c>
      <c r="Z6" s="6" t="s">
        <v>93</v>
      </c>
      <c r="AA6" s="6" t="s">
        <v>12</v>
      </c>
      <c r="AB6" s="6" t="s">
        <v>93</v>
      </c>
      <c r="AC6" s="6" t="s">
        <v>12</v>
      </c>
      <c r="AD6" s="6" t="s">
        <v>93</v>
      </c>
      <c r="AE6" s="6" t="s">
        <v>12</v>
      </c>
      <c r="AF6" s="6" t="s">
        <v>93</v>
      </c>
      <c r="AG6" s="6" t="s">
        <v>12</v>
      </c>
      <c r="AH6" s="6" t="s">
        <v>93</v>
      </c>
      <c r="AI6" s="6" t="s">
        <v>12</v>
      </c>
      <c r="AJ6" s="6" t="s">
        <v>93</v>
      </c>
      <c r="AK6" s="6" t="s">
        <v>12</v>
      </c>
      <c r="AL6" s="6" t="s">
        <v>93</v>
      </c>
      <c r="AM6" s="6" t="s">
        <v>12</v>
      </c>
    </row>
    <row r="7" spans="1:39" x14ac:dyDescent="0.25">
      <c r="A7" s="3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3" t="s">
        <v>94</v>
      </c>
      <c r="B8" s="2"/>
      <c r="C8" s="2"/>
      <c r="D8" s="2"/>
      <c r="E8" s="2"/>
      <c r="F8" s="5">
        <f t="shared" ref="F8:F36" si="0">(B8)+(D8)</f>
        <v>0</v>
      </c>
      <c r="G8" s="5">
        <f t="shared" ref="G8:G36" si="1">(C8)+(E8)</f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>
        <f t="shared" ref="T8:T36" si="2">(((L8)+(N8))+(P8))+(R8)</f>
        <v>0</v>
      </c>
      <c r="U8" s="5">
        <f t="shared" ref="U8:U36" si="3">(((M8)+(O8))+(Q8))+(S8)</f>
        <v>0</v>
      </c>
      <c r="V8" s="2"/>
      <c r="W8" s="2"/>
      <c r="X8" s="2"/>
      <c r="Y8" s="2"/>
      <c r="Z8" s="2"/>
      <c r="AA8" s="2"/>
      <c r="AB8" s="5">
        <f t="shared" ref="AB8:AB36" si="4">(X8)+(Z8)</f>
        <v>0</v>
      </c>
      <c r="AC8" s="5">
        <f t="shared" ref="AC8:AC36" si="5">(Y8)+(AA8)</f>
        <v>0</v>
      </c>
      <c r="AD8" s="2"/>
      <c r="AE8" s="2"/>
      <c r="AF8" s="2"/>
      <c r="AG8" s="2"/>
      <c r="AH8" s="5">
        <f t="shared" ref="AH8:AH36" si="6">(AD8)+(AF8)</f>
        <v>0</v>
      </c>
      <c r="AI8" s="5">
        <f t="shared" ref="AI8:AI36" si="7">(AE8)+(AG8)</f>
        <v>0</v>
      </c>
      <c r="AJ8" s="5">
        <f t="shared" ref="AJ8:AJ36" si="8">((((J8)+(T8))+(V8))+(AB8))+(AH8)</f>
        <v>0</v>
      </c>
      <c r="AK8" s="5">
        <f t="shared" ref="AK8:AK36" si="9">((((K8)+(U8))+(W8))+(AC8))+(AI8)</f>
        <v>0</v>
      </c>
      <c r="AL8" s="5">
        <f t="shared" ref="AL8:AL36" si="10">((F8)+(H8))+(AJ8)</f>
        <v>0</v>
      </c>
      <c r="AM8" s="5">
        <f t="shared" ref="AM8:AM36" si="11">((G8)+(I8))+(AK8)</f>
        <v>0</v>
      </c>
    </row>
    <row r="9" spans="1:39" x14ac:dyDescent="0.25">
      <c r="A9" s="3" t="s">
        <v>95</v>
      </c>
      <c r="B9" s="5">
        <f>110033</f>
        <v>110033</v>
      </c>
      <c r="C9" s="5">
        <f>200000</f>
        <v>200000</v>
      </c>
      <c r="D9" s="2"/>
      <c r="E9" s="2"/>
      <c r="F9" s="5">
        <f t="shared" si="0"/>
        <v>110033</v>
      </c>
      <c r="G9" s="5">
        <f t="shared" si="1"/>
        <v>200000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">
        <f t="shared" si="2"/>
        <v>0</v>
      </c>
      <c r="U9" s="5">
        <f t="shared" si="3"/>
        <v>0</v>
      </c>
      <c r="V9" s="2"/>
      <c r="W9" s="2"/>
      <c r="X9" s="2"/>
      <c r="Y9" s="2"/>
      <c r="Z9" s="2"/>
      <c r="AA9" s="2"/>
      <c r="AB9" s="5">
        <f t="shared" si="4"/>
        <v>0</v>
      </c>
      <c r="AC9" s="5">
        <f t="shared" si="5"/>
        <v>0</v>
      </c>
      <c r="AD9" s="2"/>
      <c r="AE9" s="2"/>
      <c r="AF9" s="2"/>
      <c r="AG9" s="2"/>
      <c r="AH9" s="5">
        <f t="shared" si="6"/>
        <v>0</v>
      </c>
      <c r="AI9" s="5">
        <f t="shared" si="7"/>
        <v>0</v>
      </c>
      <c r="AJ9" s="5">
        <f t="shared" si="8"/>
        <v>0</v>
      </c>
      <c r="AK9" s="5">
        <f t="shared" si="9"/>
        <v>0</v>
      </c>
      <c r="AL9" s="5">
        <f t="shared" si="10"/>
        <v>110033</v>
      </c>
      <c r="AM9" s="5">
        <f t="shared" si="11"/>
        <v>200000</v>
      </c>
    </row>
    <row r="10" spans="1:39" x14ac:dyDescent="0.25">
      <c r="A10" s="3" t="s">
        <v>96</v>
      </c>
      <c r="B10" s="5">
        <f>-2989</f>
        <v>-2989</v>
      </c>
      <c r="C10" s="5">
        <f>-9500</f>
        <v>-9500</v>
      </c>
      <c r="D10" s="2"/>
      <c r="E10" s="2"/>
      <c r="F10" s="5">
        <f t="shared" si="0"/>
        <v>-2989</v>
      </c>
      <c r="G10" s="5">
        <f t="shared" si="1"/>
        <v>-9500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">
        <f t="shared" si="2"/>
        <v>0</v>
      </c>
      <c r="U10" s="5">
        <f t="shared" si="3"/>
        <v>0</v>
      </c>
      <c r="V10" s="2"/>
      <c r="W10" s="2"/>
      <c r="X10" s="2"/>
      <c r="Y10" s="2"/>
      <c r="Z10" s="2"/>
      <c r="AA10" s="2"/>
      <c r="AB10" s="5">
        <f t="shared" si="4"/>
        <v>0</v>
      </c>
      <c r="AC10" s="5">
        <f t="shared" si="5"/>
        <v>0</v>
      </c>
      <c r="AD10" s="2"/>
      <c r="AE10" s="2"/>
      <c r="AF10" s="2"/>
      <c r="AG10" s="2"/>
      <c r="AH10" s="5">
        <f t="shared" si="6"/>
        <v>0</v>
      </c>
      <c r="AI10" s="5">
        <f t="shared" si="7"/>
        <v>0</v>
      </c>
      <c r="AJ10" s="5">
        <f t="shared" si="8"/>
        <v>0</v>
      </c>
      <c r="AK10" s="5">
        <f t="shared" si="9"/>
        <v>0</v>
      </c>
      <c r="AL10" s="5">
        <f t="shared" si="10"/>
        <v>-2989</v>
      </c>
      <c r="AM10" s="5">
        <f t="shared" si="11"/>
        <v>-9500</v>
      </c>
    </row>
    <row r="11" spans="1:39" x14ac:dyDescent="0.25">
      <c r="A11" s="3" t="s">
        <v>97</v>
      </c>
      <c r="B11" s="5">
        <f>3130</f>
        <v>3130</v>
      </c>
      <c r="C11" s="5">
        <f>10000</f>
        <v>10000</v>
      </c>
      <c r="D11" s="2"/>
      <c r="E11" s="2"/>
      <c r="F11" s="5">
        <f t="shared" si="0"/>
        <v>3130</v>
      </c>
      <c r="G11" s="5">
        <f t="shared" si="1"/>
        <v>10000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5">
        <f t="shared" si="2"/>
        <v>0</v>
      </c>
      <c r="U11" s="5">
        <f t="shared" si="3"/>
        <v>0</v>
      </c>
      <c r="V11" s="2"/>
      <c r="W11" s="2"/>
      <c r="X11" s="2"/>
      <c r="Y11" s="2"/>
      <c r="Z11" s="2"/>
      <c r="AA11" s="2"/>
      <c r="AB11" s="5">
        <f t="shared" si="4"/>
        <v>0</v>
      </c>
      <c r="AC11" s="5">
        <f t="shared" si="5"/>
        <v>0</v>
      </c>
      <c r="AD11" s="2"/>
      <c r="AE11" s="2"/>
      <c r="AF11" s="2"/>
      <c r="AG11" s="2"/>
      <c r="AH11" s="5">
        <f t="shared" si="6"/>
        <v>0</v>
      </c>
      <c r="AI11" s="5">
        <f t="shared" si="7"/>
        <v>0</v>
      </c>
      <c r="AJ11" s="5">
        <f t="shared" si="8"/>
        <v>0</v>
      </c>
      <c r="AK11" s="5">
        <f t="shared" si="9"/>
        <v>0</v>
      </c>
      <c r="AL11" s="5">
        <f t="shared" si="10"/>
        <v>3130</v>
      </c>
      <c r="AM11" s="5">
        <f t="shared" si="11"/>
        <v>10000</v>
      </c>
    </row>
    <row r="12" spans="1:39" x14ac:dyDescent="0.25">
      <c r="A12" s="3" t="s">
        <v>98</v>
      </c>
      <c r="B12" s="4">
        <f>(((B8)+(B9))+(B10))+(B11)</f>
        <v>110174</v>
      </c>
      <c r="C12" s="4">
        <f>(((C8)+(C9))+(C10))+(C11)</f>
        <v>200500</v>
      </c>
      <c r="D12" s="4">
        <f>(((D8)+(D9))+(D10))+(D11)</f>
        <v>0</v>
      </c>
      <c r="E12" s="4">
        <f>(((E8)+(E9))+(E10))+(E11)</f>
        <v>0</v>
      </c>
      <c r="F12" s="4">
        <f t="shared" si="0"/>
        <v>110174</v>
      </c>
      <c r="G12" s="4">
        <f t="shared" si="1"/>
        <v>200500</v>
      </c>
      <c r="H12" s="4">
        <f t="shared" ref="H12:S12" si="12">(((H8)+(H9))+(H10))+(H11)</f>
        <v>0</v>
      </c>
      <c r="I12" s="4">
        <f t="shared" si="12"/>
        <v>0</v>
      </c>
      <c r="J12" s="4">
        <f t="shared" si="12"/>
        <v>0</v>
      </c>
      <c r="K12" s="4">
        <f t="shared" si="12"/>
        <v>0</v>
      </c>
      <c r="L12" s="4">
        <f t="shared" si="12"/>
        <v>0</v>
      </c>
      <c r="M12" s="4">
        <f t="shared" si="12"/>
        <v>0</v>
      </c>
      <c r="N12" s="4">
        <f t="shared" si="12"/>
        <v>0</v>
      </c>
      <c r="O12" s="4">
        <f t="shared" si="12"/>
        <v>0</v>
      </c>
      <c r="P12" s="4">
        <f t="shared" si="12"/>
        <v>0</v>
      </c>
      <c r="Q12" s="4">
        <f t="shared" si="12"/>
        <v>0</v>
      </c>
      <c r="R12" s="4">
        <f t="shared" si="12"/>
        <v>0</v>
      </c>
      <c r="S12" s="4">
        <f t="shared" si="12"/>
        <v>0</v>
      </c>
      <c r="T12" s="4">
        <f t="shared" si="2"/>
        <v>0</v>
      </c>
      <c r="U12" s="4">
        <f t="shared" si="3"/>
        <v>0</v>
      </c>
      <c r="V12" s="4">
        <f t="shared" ref="V12:AA12" si="13">(((V8)+(V9))+(V10))+(V11)</f>
        <v>0</v>
      </c>
      <c r="W12" s="4">
        <f t="shared" si="13"/>
        <v>0</v>
      </c>
      <c r="X12" s="4">
        <f t="shared" si="13"/>
        <v>0</v>
      </c>
      <c r="Y12" s="4">
        <f t="shared" si="13"/>
        <v>0</v>
      </c>
      <c r="Z12" s="4">
        <f t="shared" si="13"/>
        <v>0</v>
      </c>
      <c r="AA12" s="4">
        <f t="shared" si="13"/>
        <v>0</v>
      </c>
      <c r="AB12" s="4">
        <f t="shared" si="4"/>
        <v>0</v>
      </c>
      <c r="AC12" s="4">
        <f t="shared" si="5"/>
        <v>0</v>
      </c>
      <c r="AD12" s="4">
        <f>(((AD8)+(AD9))+(AD10))+(AD11)</f>
        <v>0</v>
      </c>
      <c r="AE12" s="4">
        <f>(((AE8)+(AE9))+(AE10))+(AE11)</f>
        <v>0</v>
      </c>
      <c r="AF12" s="4">
        <f>(((AF8)+(AF9))+(AF10))+(AF11)</f>
        <v>0</v>
      </c>
      <c r="AG12" s="4">
        <f>(((AG8)+(AG9))+(AG10))+(AG11)</f>
        <v>0</v>
      </c>
      <c r="AH12" s="4">
        <f t="shared" si="6"/>
        <v>0</v>
      </c>
      <c r="AI12" s="4">
        <f t="shared" si="7"/>
        <v>0</v>
      </c>
      <c r="AJ12" s="4">
        <f t="shared" si="8"/>
        <v>0</v>
      </c>
      <c r="AK12" s="4">
        <f t="shared" si="9"/>
        <v>0</v>
      </c>
      <c r="AL12" s="4">
        <f t="shared" si="10"/>
        <v>110174</v>
      </c>
      <c r="AM12" s="4">
        <f t="shared" si="11"/>
        <v>200500</v>
      </c>
    </row>
    <row r="13" spans="1:39" x14ac:dyDescent="0.25">
      <c r="A13" s="3" t="s">
        <v>99</v>
      </c>
      <c r="B13" s="2"/>
      <c r="C13" s="2"/>
      <c r="D13" s="2"/>
      <c r="E13" s="2"/>
      <c r="F13" s="5">
        <f t="shared" si="0"/>
        <v>0</v>
      </c>
      <c r="G13" s="5">
        <f t="shared" si="1"/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5">
        <f t="shared" si="2"/>
        <v>0</v>
      </c>
      <c r="U13" s="5">
        <f t="shared" si="3"/>
        <v>0</v>
      </c>
      <c r="V13" s="2"/>
      <c r="W13" s="2"/>
      <c r="X13" s="2"/>
      <c r="Y13" s="2"/>
      <c r="Z13" s="2"/>
      <c r="AA13" s="2"/>
      <c r="AB13" s="5">
        <f t="shared" si="4"/>
        <v>0</v>
      </c>
      <c r="AC13" s="5">
        <f t="shared" si="5"/>
        <v>0</v>
      </c>
      <c r="AD13" s="2"/>
      <c r="AE13" s="2"/>
      <c r="AF13" s="2"/>
      <c r="AG13" s="2"/>
      <c r="AH13" s="5">
        <f t="shared" si="6"/>
        <v>0</v>
      </c>
      <c r="AI13" s="5">
        <f t="shared" si="7"/>
        <v>0</v>
      </c>
      <c r="AJ13" s="5">
        <f t="shared" si="8"/>
        <v>0</v>
      </c>
      <c r="AK13" s="5">
        <f t="shared" si="9"/>
        <v>0</v>
      </c>
      <c r="AL13" s="5">
        <f t="shared" si="10"/>
        <v>0</v>
      </c>
      <c r="AM13" s="5">
        <f t="shared" si="11"/>
        <v>0</v>
      </c>
    </row>
    <row r="14" spans="1:39" x14ac:dyDescent="0.25">
      <c r="A14" s="3" t="s">
        <v>100</v>
      </c>
      <c r="B14" s="2"/>
      <c r="C14" s="2"/>
      <c r="D14" s="2"/>
      <c r="E14" s="2"/>
      <c r="F14" s="5">
        <f t="shared" si="0"/>
        <v>0</v>
      </c>
      <c r="G14" s="5">
        <f t="shared" si="1"/>
        <v>0</v>
      </c>
      <c r="H14" s="5">
        <f>16624.68</f>
        <v>16624.68</v>
      </c>
      <c r="I14" s="5">
        <f>118000</f>
        <v>118000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5">
        <f t="shared" si="2"/>
        <v>0</v>
      </c>
      <c r="U14" s="5">
        <f t="shared" si="3"/>
        <v>0</v>
      </c>
      <c r="V14" s="2"/>
      <c r="W14" s="5">
        <f>14000</f>
        <v>14000</v>
      </c>
      <c r="X14" s="2"/>
      <c r="Y14" s="2"/>
      <c r="Z14" s="2"/>
      <c r="AA14" s="2"/>
      <c r="AB14" s="5">
        <f t="shared" si="4"/>
        <v>0</v>
      </c>
      <c r="AC14" s="5">
        <f t="shared" si="5"/>
        <v>0</v>
      </c>
      <c r="AD14" s="2"/>
      <c r="AE14" s="2"/>
      <c r="AF14" s="2"/>
      <c r="AG14" s="2"/>
      <c r="AH14" s="5">
        <f t="shared" si="6"/>
        <v>0</v>
      </c>
      <c r="AI14" s="5">
        <f t="shared" si="7"/>
        <v>0</v>
      </c>
      <c r="AJ14" s="5">
        <f t="shared" si="8"/>
        <v>0</v>
      </c>
      <c r="AK14" s="5">
        <f t="shared" si="9"/>
        <v>14000</v>
      </c>
      <c r="AL14" s="5">
        <f t="shared" si="10"/>
        <v>16624.68</v>
      </c>
      <c r="AM14" s="5">
        <f t="shared" si="11"/>
        <v>132000</v>
      </c>
    </row>
    <row r="15" spans="1:39" x14ac:dyDescent="0.25">
      <c r="A15" s="3" t="s">
        <v>101</v>
      </c>
      <c r="B15" s="2"/>
      <c r="C15" s="2"/>
      <c r="D15" s="2"/>
      <c r="E15" s="2"/>
      <c r="F15" s="5">
        <f t="shared" si="0"/>
        <v>0</v>
      </c>
      <c r="G15" s="5">
        <f t="shared" si="1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5">
        <f t="shared" si="2"/>
        <v>0</v>
      </c>
      <c r="U15" s="5">
        <f t="shared" si="3"/>
        <v>0</v>
      </c>
      <c r="V15" s="2"/>
      <c r="W15" s="2"/>
      <c r="X15" s="2"/>
      <c r="Y15" s="2"/>
      <c r="Z15" s="2"/>
      <c r="AA15" s="2"/>
      <c r="AB15" s="5">
        <f t="shared" si="4"/>
        <v>0</v>
      </c>
      <c r="AC15" s="5">
        <f t="shared" si="5"/>
        <v>0</v>
      </c>
      <c r="AD15" s="2"/>
      <c r="AE15" s="2"/>
      <c r="AF15" s="5">
        <f>23411.64</f>
        <v>23411.64</v>
      </c>
      <c r="AG15" s="5">
        <f>22000</f>
        <v>22000</v>
      </c>
      <c r="AH15" s="5">
        <f t="shared" si="6"/>
        <v>23411.64</v>
      </c>
      <c r="AI15" s="5">
        <f t="shared" si="7"/>
        <v>22000</v>
      </c>
      <c r="AJ15" s="5">
        <f t="shared" si="8"/>
        <v>23411.64</v>
      </c>
      <c r="AK15" s="5">
        <f t="shared" si="9"/>
        <v>22000</v>
      </c>
      <c r="AL15" s="5">
        <f t="shared" si="10"/>
        <v>23411.64</v>
      </c>
      <c r="AM15" s="5">
        <f t="shared" si="11"/>
        <v>22000</v>
      </c>
    </row>
    <row r="16" spans="1:39" x14ac:dyDescent="0.25">
      <c r="A16" s="3" t="s">
        <v>102</v>
      </c>
      <c r="B16" s="2"/>
      <c r="C16" s="2"/>
      <c r="D16" s="2"/>
      <c r="E16" s="2"/>
      <c r="F16" s="5">
        <f t="shared" si="0"/>
        <v>0</v>
      </c>
      <c r="G16" s="5">
        <f t="shared" si="1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>
        <f t="shared" si="2"/>
        <v>0</v>
      </c>
      <c r="U16" s="5">
        <f t="shared" si="3"/>
        <v>0</v>
      </c>
      <c r="V16" s="2"/>
      <c r="W16" s="2"/>
      <c r="X16" s="2"/>
      <c r="Y16" s="2"/>
      <c r="Z16" s="2"/>
      <c r="AA16" s="5">
        <f>5000</f>
        <v>5000</v>
      </c>
      <c r="AB16" s="5">
        <f t="shared" si="4"/>
        <v>0</v>
      </c>
      <c r="AC16" s="5">
        <f t="shared" si="5"/>
        <v>5000</v>
      </c>
      <c r="AD16" s="2"/>
      <c r="AE16" s="2"/>
      <c r="AF16" s="2"/>
      <c r="AG16" s="2"/>
      <c r="AH16" s="5">
        <f t="shared" si="6"/>
        <v>0</v>
      </c>
      <c r="AI16" s="5">
        <f t="shared" si="7"/>
        <v>0</v>
      </c>
      <c r="AJ16" s="5">
        <f t="shared" si="8"/>
        <v>0</v>
      </c>
      <c r="AK16" s="5">
        <f t="shared" si="9"/>
        <v>5000</v>
      </c>
      <c r="AL16" s="5">
        <f t="shared" si="10"/>
        <v>0</v>
      </c>
      <c r="AM16" s="5">
        <f t="shared" si="11"/>
        <v>5000</v>
      </c>
    </row>
    <row r="17" spans="1:39" x14ac:dyDescent="0.25">
      <c r="A17" s="3" t="s">
        <v>103</v>
      </c>
      <c r="B17" s="2"/>
      <c r="C17" s="2"/>
      <c r="D17" s="2"/>
      <c r="E17" s="2"/>
      <c r="F17" s="5">
        <f t="shared" si="0"/>
        <v>0</v>
      </c>
      <c r="G17" s="5">
        <f t="shared" si="1"/>
        <v>0</v>
      </c>
      <c r="H17" s="2"/>
      <c r="I17" s="5">
        <f>8000</f>
        <v>8000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5">
        <f t="shared" si="2"/>
        <v>0</v>
      </c>
      <c r="U17" s="5">
        <f t="shared" si="3"/>
        <v>0</v>
      </c>
      <c r="V17" s="2"/>
      <c r="W17" s="2"/>
      <c r="X17" s="2"/>
      <c r="Y17" s="2"/>
      <c r="Z17" s="2"/>
      <c r="AA17" s="2"/>
      <c r="AB17" s="5">
        <f t="shared" si="4"/>
        <v>0</v>
      </c>
      <c r="AC17" s="5">
        <f t="shared" si="5"/>
        <v>0</v>
      </c>
      <c r="AD17" s="2"/>
      <c r="AE17" s="2"/>
      <c r="AF17" s="2"/>
      <c r="AG17" s="2"/>
      <c r="AH17" s="5">
        <f t="shared" si="6"/>
        <v>0</v>
      </c>
      <c r="AI17" s="5">
        <f t="shared" si="7"/>
        <v>0</v>
      </c>
      <c r="AJ17" s="5">
        <f t="shared" si="8"/>
        <v>0</v>
      </c>
      <c r="AK17" s="5">
        <f t="shared" si="9"/>
        <v>0</v>
      </c>
      <c r="AL17" s="5">
        <f t="shared" si="10"/>
        <v>0</v>
      </c>
      <c r="AM17" s="5">
        <f t="shared" si="11"/>
        <v>8000</v>
      </c>
    </row>
    <row r="18" spans="1:39" x14ac:dyDescent="0.25">
      <c r="A18" s="3" t="s">
        <v>104</v>
      </c>
      <c r="B18" s="4">
        <f>((((B13)+(B14))+(B15))+(B16))+(B17)</f>
        <v>0</v>
      </c>
      <c r="C18" s="4">
        <f>((((C13)+(C14))+(C15))+(C16))+(C17)</f>
        <v>0</v>
      </c>
      <c r="D18" s="4">
        <f>((((D13)+(D14))+(D15))+(D16))+(D17)</f>
        <v>0</v>
      </c>
      <c r="E18" s="4">
        <f>((((E13)+(E14))+(E15))+(E16))+(E17)</f>
        <v>0</v>
      </c>
      <c r="F18" s="4">
        <f t="shared" si="0"/>
        <v>0</v>
      </c>
      <c r="G18" s="4">
        <f t="shared" si="1"/>
        <v>0</v>
      </c>
      <c r="H18" s="4">
        <f t="shared" ref="H18:S18" si="14">((((H13)+(H14))+(H15))+(H16))+(H17)</f>
        <v>16624.68</v>
      </c>
      <c r="I18" s="4">
        <f t="shared" si="14"/>
        <v>126000</v>
      </c>
      <c r="J18" s="4">
        <f t="shared" si="14"/>
        <v>0</v>
      </c>
      <c r="K18" s="4">
        <f t="shared" si="14"/>
        <v>0</v>
      </c>
      <c r="L18" s="4">
        <f t="shared" si="14"/>
        <v>0</v>
      </c>
      <c r="M18" s="4">
        <f t="shared" si="14"/>
        <v>0</v>
      </c>
      <c r="N18" s="4">
        <f t="shared" si="14"/>
        <v>0</v>
      </c>
      <c r="O18" s="4">
        <f t="shared" si="14"/>
        <v>0</v>
      </c>
      <c r="P18" s="4">
        <f t="shared" si="14"/>
        <v>0</v>
      </c>
      <c r="Q18" s="4">
        <f t="shared" si="14"/>
        <v>0</v>
      </c>
      <c r="R18" s="4">
        <f t="shared" si="14"/>
        <v>0</v>
      </c>
      <c r="S18" s="4">
        <f t="shared" si="14"/>
        <v>0</v>
      </c>
      <c r="T18" s="4">
        <f t="shared" si="2"/>
        <v>0</v>
      </c>
      <c r="U18" s="4">
        <f t="shared" si="3"/>
        <v>0</v>
      </c>
      <c r="V18" s="4">
        <f t="shared" ref="V18:AA18" si="15">((((V13)+(V14))+(V15))+(V16))+(V17)</f>
        <v>0</v>
      </c>
      <c r="W18" s="4">
        <f t="shared" si="15"/>
        <v>14000</v>
      </c>
      <c r="X18" s="4">
        <f t="shared" si="15"/>
        <v>0</v>
      </c>
      <c r="Y18" s="4">
        <f t="shared" si="15"/>
        <v>0</v>
      </c>
      <c r="Z18" s="4">
        <f t="shared" si="15"/>
        <v>0</v>
      </c>
      <c r="AA18" s="4">
        <f t="shared" si="15"/>
        <v>5000</v>
      </c>
      <c r="AB18" s="4">
        <f t="shared" si="4"/>
        <v>0</v>
      </c>
      <c r="AC18" s="4">
        <f t="shared" si="5"/>
        <v>5000</v>
      </c>
      <c r="AD18" s="4">
        <f>((((AD13)+(AD14))+(AD15))+(AD16))+(AD17)</f>
        <v>0</v>
      </c>
      <c r="AE18" s="4">
        <f>((((AE13)+(AE14))+(AE15))+(AE16))+(AE17)</f>
        <v>0</v>
      </c>
      <c r="AF18" s="4">
        <f>((((AF13)+(AF14))+(AF15))+(AF16))+(AF17)</f>
        <v>23411.64</v>
      </c>
      <c r="AG18" s="4">
        <f>((((AG13)+(AG14))+(AG15))+(AG16))+(AG17)</f>
        <v>22000</v>
      </c>
      <c r="AH18" s="4">
        <f t="shared" si="6"/>
        <v>23411.64</v>
      </c>
      <c r="AI18" s="4">
        <f t="shared" si="7"/>
        <v>22000</v>
      </c>
      <c r="AJ18" s="4">
        <f t="shared" si="8"/>
        <v>23411.64</v>
      </c>
      <c r="AK18" s="4">
        <f t="shared" si="9"/>
        <v>41000</v>
      </c>
      <c r="AL18" s="4">
        <f t="shared" si="10"/>
        <v>40036.32</v>
      </c>
      <c r="AM18" s="4">
        <f t="shared" si="11"/>
        <v>167000</v>
      </c>
    </row>
    <row r="19" spans="1:39" x14ac:dyDescent="0.25">
      <c r="A19" s="3" t="s">
        <v>105</v>
      </c>
      <c r="B19" s="2"/>
      <c r="C19" s="2"/>
      <c r="D19" s="2"/>
      <c r="E19" s="2"/>
      <c r="F19" s="5">
        <f t="shared" si="0"/>
        <v>0</v>
      </c>
      <c r="G19" s="5">
        <f t="shared" si="1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5">
        <f t="shared" si="2"/>
        <v>0</v>
      </c>
      <c r="U19" s="5">
        <f t="shared" si="3"/>
        <v>0</v>
      </c>
      <c r="V19" s="2"/>
      <c r="W19" s="2"/>
      <c r="X19" s="2"/>
      <c r="Y19" s="2"/>
      <c r="Z19" s="2"/>
      <c r="AA19" s="2"/>
      <c r="AB19" s="5">
        <f t="shared" si="4"/>
        <v>0</v>
      </c>
      <c r="AC19" s="5">
        <f t="shared" si="5"/>
        <v>0</v>
      </c>
      <c r="AD19" s="2"/>
      <c r="AE19" s="2"/>
      <c r="AF19" s="2"/>
      <c r="AG19" s="2"/>
      <c r="AH19" s="5">
        <f t="shared" si="6"/>
        <v>0</v>
      </c>
      <c r="AI19" s="5">
        <f t="shared" si="7"/>
        <v>0</v>
      </c>
      <c r="AJ19" s="5">
        <f t="shared" si="8"/>
        <v>0</v>
      </c>
      <c r="AK19" s="5">
        <f t="shared" si="9"/>
        <v>0</v>
      </c>
      <c r="AL19" s="5">
        <f t="shared" si="10"/>
        <v>0</v>
      </c>
      <c r="AM19" s="5">
        <f t="shared" si="11"/>
        <v>0</v>
      </c>
    </row>
    <row r="20" spans="1:39" x14ac:dyDescent="0.25">
      <c r="A20" s="3" t="s">
        <v>106</v>
      </c>
      <c r="B20" s="2"/>
      <c r="C20" s="2"/>
      <c r="D20" s="2"/>
      <c r="E20" s="2"/>
      <c r="F20" s="5">
        <f t="shared" si="0"/>
        <v>0</v>
      </c>
      <c r="G20" s="5">
        <f t="shared" si="1"/>
        <v>0</v>
      </c>
      <c r="H20" s="5">
        <f>290.79</f>
        <v>290.79000000000002</v>
      </c>
      <c r="I20" s="5">
        <f>5000</f>
        <v>5000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5">
        <f t="shared" si="2"/>
        <v>0</v>
      </c>
      <c r="U20" s="5">
        <f t="shared" si="3"/>
        <v>0</v>
      </c>
      <c r="V20" s="2"/>
      <c r="W20" s="2"/>
      <c r="X20" s="2"/>
      <c r="Y20" s="2"/>
      <c r="Z20" s="2"/>
      <c r="AA20" s="2"/>
      <c r="AB20" s="5">
        <f t="shared" si="4"/>
        <v>0</v>
      </c>
      <c r="AC20" s="5">
        <f t="shared" si="5"/>
        <v>0</v>
      </c>
      <c r="AD20" s="2"/>
      <c r="AE20" s="2"/>
      <c r="AF20" s="2"/>
      <c r="AG20" s="2"/>
      <c r="AH20" s="5">
        <f t="shared" si="6"/>
        <v>0</v>
      </c>
      <c r="AI20" s="5">
        <f t="shared" si="7"/>
        <v>0</v>
      </c>
      <c r="AJ20" s="5">
        <f t="shared" si="8"/>
        <v>0</v>
      </c>
      <c r="AK20" s="5">
        <f t="shared" si="9"/>
        <v>0</v>
      </c>
      <c r="AL20" s="5">
        <f t="shared" si="10"/>
        <v>290.79000000000002</v>
      </c>
      <c r="AM20" s="5">
        <f t="shared" si="11"/>
        <v>5000</v>
      </c>
    </row>
    <row r="21" spans="1:39" x14ac:dyDescent="0.25">
      <c r="A21" s="3" t="s">
        <v>107</v>
      </c>
      <c r="B21" s="2"/>
      <c r="C21" s="2"/>
      <c r="D21" s="2"/>
      <c r="E21" s="2"/>
      <c r="F21" s="5">
        <f t="shared" si="0"/>
        <v>0</v>
      </c>
      <c r="G21" s="5">
        <f t="shared" si="1"/>
        <v>0</v>
      </c>
      <c r="H21" s="5">
        <f>40</f>
        <v>40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5">
        <f t="shared" si="2"/>
        <v>0</v>
      </c>
      <c r="U21" s="5">
        <f t="shared" si="3"/>
        <v>0</v>
      </c>
      <c r="V21" s="2"/>
      <c r="W21" s="2"/>
      <c r="X21" s="2"/>
      <c r="Y21" s="2"/>
      <c r="Z21" s="2"/>
      <c r="AA21" s="2"/>
      <c r="AB21" s="5">
        <f t="shared" si="4"/>
        <v>0</v>
      </c>
      <c r="AC21" s="5">
        <f t="shared" si="5"/>
        <v>0</v>
      </c>
      <c r="AD21" s="2"/>
      <c r="AE21" s="2"/>
      <c r="AF21" s="2"/>
      <c r="AG21" s="2"/>
      <c r="AH21" s="5">
        <f t="shared" si="6"/>
        <v>0</v>
      </c>
      <c r="AI21" s="5">
        <f t="shared" si="7"/>
        <v>0</v>
      </c>
      <c r="AJ21" s="5">
        <f t="shared" si="8"/>
        <v>0</v>
      </c>
      <c r="AK21" s="5">
        <f t="shared" si="9"/>
        <v>0</v>
      </c>
      <c r="AL21" s="5">
        <f t="shared" si="10"/>
        <v>40</v>
      </c>
      <c r="AM21" s="5">
        <f t="shared" si="11"/>
        <v>0</v>
      </c>
    </row>
    <row r="22" spans="1:39" x14ac:dyDescent="0.25">
      <c r="A22" s="3" t="s">
        <v>108</v>
      </c>
      <c r="B22" s="2"/>
      <c r="C22" s="5">
        <f>6613</f>
        <v>6613</v>
      </c>
      <c r="D22" s="2"/>
      <c r="E22" s="2"/>
      <c r="F22" s="5">
        <f t="shared" si="0"/>
        <v>0</v>
      </c>
      <c r="G22" s="5">
        <f t="shared" si="1"/>
        <v>6613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5">
        <f t="shared" si="2"/>
        <v>0</v>
      </c>
      <c r="U22" s="5">
        <f t="shared" si="3"/>
        <v>0</v>
      </c>
      <c r="V22" s="2"/>
      <c r="W22" s="2"/>
      <c r="X22" s="2"/>
      <c r="Y22" s="2"/>
      <c r="Z22" s="2"/>
      <c r="AA22" s="2"/>
      <c r="AB22" s="5">
        <f t="shared" si="4"/>
        <v>0</v>
      </c>
      <c r="AC22" s="5">
        <f t="shared" si="5"/>
        <v>0</v>
      </c>
      <c r="AD22" s="2"/>
      <c r="AE22" s="2"/>
      <c r="AF22" s="2"/>
      <c r="AG22" s="2"/>
      <c r="AH22" s="5">
        <f t="shared" si="6"/>
        <v>0</v>
      </c>
      <c r="AI22" s="5">
        <f t="shared" si="7"/>
        <v>0</v>
      </c>
      <c r="AJ22" s="5">
        <f t="shared" si="8"/>
        <v>0</v>
      </c>
      <c r="AK22" s="5">
        <f t="shared" si="9"/>
        <v>0</v>
      </c>
      <c r="AL22" s="5">
        <f t="shared" si="10"/>
        <v>0</v>
      </c>
      <c r="AM22" s="5">
        <f t="shared" si="11"/>
        <v>6613</v>
      </c>
    </row>
    <row r="23" spans="1:39" x14ac:dyDescent="0.25">
      <c r="A23" s="3" t="s">
        <v>109</v>
      </c>
      <c r="B23" s="2"/>
      <c r="C23" s="2"/>
      <c r="D23" s="2"/>
      <c r="E23" s="2"/>
      <c r="F23" s="5">
        <f t="shared" si="0"/>
        <v>0</v>
      </c>
      <c r="G23" s="5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5">
        <f t="shared" si="2"/>
        <v>0</v>
      </c>
      <c r="U23" s="5">
        <f t="shared" si="3"/>
        <v>0</v>
      </c>
      <c r="V23" s="2"/>
      <c r="W23" s="2"/>
      <c r="X23" s="2"/>
      <c r="Y23" s="2"/>
      <c r="Z23" s="2"/>
      <c r="AA23" s="5">
        <f>300</f>
        <v>300</v>
      </c>
      <c r="AB23" s="5">
        <f t="shared" si="4"/>
        <v>0</v>
      </c>
      <c r="AC23" s="5">
        <f t="shared" si="5"/>
        <v>300</v>
      </c>
      <c r="AD23" s="2"/>
      <c r="AE23" s="5">
        <f>2500</f>
        <v>2500</v>
      </c>
      <c r="AF23" s="2"/>
      <c r="AG23" s="2"/>
      <c r="AH23" s="5">
        <f t="shared" si="6"/>
        <v>0</v>
      </c>
      <c r="AI23" s="5">
        <f t="shared" si="7"/>
        <v>2500</v>
      </c>
      <c r="AJ23" s="5">
        <f t="shared" si="8"/>
        <v>0</v>
      </c>
      <c r="AK23" s="5">
        <f t="shared" si="9"/>
        <v>2800</v>
      </c>
      <c r="AL23" s="5">
        <f t="shared" si="10"/>
        <v>0</v>
      </c>
      <c r="AM23" s="5">
        <f t="shared" si="11"/>
        <v>2800</v>
      </c>
    </row>
    <row r="24" spans="1:39" x14ac:dyDescent="0.25">
      <c r="A24" s="3" t="s">
        <v>155</v>
      </c>
      <c r="B24" s="2"/>
      <c r="C24" s="2"/>
      <c r="D24" s="2"/>
      <c r="E24" s="2"/>
      <c r="F24" s="5">
        <f t="shared" si="0"/>
        <v>0</v>
      </c>
      <c r="G24" s="5">
        <f t="shared" si="1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5">
        <f t="shared" si="2"/>
        <v>0</v>
      </c>
      <c r="U24" s="5">
        <f t="shared" si="3"/>
        <v>0</v>
      </c>
      <c r="V24" s="2"/>
      <c r="W24" s="5">
        <f>105000</f>
        <v>105000</v>
      </c>
      <c r="X24" s="2"/>
      <c r="Y24" s="2"/>
      <c r="Z24" s="2"/>
      <c r="AA24" s="2"/>
      <c r="AB24" s="5">
        <f t="shared" si="4"/>
        <v>0</v>
      </c>
      <c r="AC24" s="5">
        <f t="shared" si="5"/>
        <v>0</v>
      </c>
      <c r="AD24" s="2"/>
      <c r="AE24" s="2"/>
      <c r="AF24" s="2"/>
      <c r="AG24" s="2"/>
      <c r="AH24" s="5">
        <f t="shared" si="6"/>
        <v>0</v>
      </c>
      <c r="AI24" s="5">
        <f t="shared" si="7"/>
        <v>0</v>
      </c>
      <c r="AJ24" s="5">
        <f t="shared" si="8"/>
        <v>0</v>
      </c>
      <c r="AK24" s="5">
        <f t="shared" si="9"/>
        <v>105000</v>
      </c>
      <c r="AL24" s="5">
        <f t="shared" si="10"/>
        <v>0</v>
      </c>
      <c r="AM24" s="5">
        <f t="shared" si="11"/>
        <v>105000</v>
      </c>
    </row>
    <row r="25" spans="1:39" x14ac:dyDescent="0.25">
      <c r="A25" s="3" t="s">
        <v>110</v>
      </c>
      <c r="B25" s="2"/>
      <c r="C25" s="2"/>
      <c r="D25" s="2"/>
      <c r="E25" s="2"/>
      <c r="F25" s="5">
        <f t="shared" si="0"/>
        <v>0</v>
      </c>
      <c r="G25" s="5">
        <f t="shared" si="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5">
        <f t="shared" si="2"/>
        <v>0</v>
      </c>
      <c r="U25" s="5">
        <f t="shared" si="3"/>
        <v>0</v>
      </c>
      <c r="V25" s="2"/>
      <c r="W25" s="2"/>
      <c r="X25" s="2"/>
      <c r="Y25" s="2"/>
      <c r="Z25" s="2"/>
      <c r="AA25" s="2"/>
      <c r="AB25" s="5">
        <f t="shared" si="4"/>
        <v>0</v>
      </c>
      <c r="AC25" s="5">
        <f t="shared" si="5"/>
        <v>0</v>
      </c>
      <c r="AD25" s="2"/>
      <c r="AE25" s="2"/>
      <c r="AF25" s="2"/>
      <c r="AG25" s="2"/>
      <c r="AH25" s="5">
        <f t="shared" si="6"/>
        <v>0</v>
      </c>
      <c r="AI25" s="5">
        <f t="shared" si="7"/>
        <v>0</v>
      </c>
      <c r="AJ25" s="5">
        <f t="shared" si="8"/>
        <v>0</v>
      </c>
      <c r="AK25" s="5">
        <f t="shared" si="9"/>
        <v>0</v>
      </c>
      <c r="AL25" s="5">
        <f t="shared" si="10"/>
        <v>0</v>
      </c>
      <c r="AM25" s="5">
        <f t="shared" si="11"/>
        <v>0</v>
      </c>
    </row>
    <row r="26" spans="1:39" x14ac:dyDescent="0.25">
      <c r="A26" s="3" t="s">
        <v>111</v>
      </c>
      <c r="B26" s="2"/>
      <c r="C26" s="2"/>
      <c r="D26" s="2"/>
      <c r="E26" s="2"/>
      <c r="F26" s="5">
        <f t="shared" si="0"/>
        <v>0</v>
      </c>
      <c r="G26" s="5">
        <f t="shared" si="1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5">
        <f t="shared" si="2"/>
        <v>0</v>
      </c>
      <c r="U26" s="5">
        <f t="shared" si="3"/>
        <v>0</v>
      </c>
      <c r="V26" s="2"/>
      <c r="W26" s="2"/>
      <c r="X26" s="2"/>
      <c r="Y26" s="2"/>
      <c r="Z26" s="5">
        <f>39285.07</f>
        <v>39285.07</v>
      </c>
      <c r="AA26" s="5">
        <f>84950</f>
        <v>84950</v>
      </c>
      <c r="AB26" s="5">
        <f t="shared" si="4"/>
        <v>39285.07</v>
      </c>
      <c r="AC26" s="5">
        <f t="shared" si="5"/>
        <v>84950</v>
      </c>
      <c r="AD26" s="2"/>
      <c r="AE26" s="2"/>
      <c r="AF26" s="2"/>
      <c r="AG26" s="2"/>
      <c r="AH26" s="5">
        <f t="shared" si="6"/>
        <v>0</v>
      </c>
      <c r="AI26" s="5">
        <f t="shared" si="7"/>
        <v>0</v>
      </c>
      <c r="AJ26" s="5">
        <f t="shared" si="8"/>
        <v>39285.07</v>
      </c>
      <c r="AK26" s="5">
        <f t="shared" si="9"/>
        <v>84950</v>
      </c>
      <c r="AL26" s="5">
        <f t="shared" si="10"/>
        <v>39285.07</v>
      </c>
      <c r="AM26" s="5">
        <f t="shared" si="11"/>
        <v>84950</v>
      </c>
    </row>
    <row r="27" spans="1:39" x14ac:dyDescent="0.25">
      <c r="A27" s="3" t="s">
        <v>112</v>
      </c>
      <c r="B27" s="2"/>
      <c r="C27" s="2"/>
      <c r="D27" s="2"/>
      <c r="E27" s="2"/>
      <c r="F27" s="5">
        <f t="shared" si="0"/>
        <v>0</v>
      </c>
      <c r="G27" s="5">
        <f t="shared" si="1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5">
        <f t="shared" si="2"/>
        <v>0</v>
      </c>
      <c r="U27" s="5">
        <f t="shared" si="3"/>
        <v>0</v>
      </c>
      <c r="V27" s="2"/>
      <c r="W27" s="2"/>
      <c r="X27" s="2"/>
      <c r="Y27" s="2"/>
      <c r="Z27" s="5">
        <f>400</f>
        <v>400</v>
      </c>
      <c r="AA27" s="5">
        <f>1500</f>
        <v>1500</v>
      </c>
      <c r="AB27" s="5">
        <f t="shared" si="4"/>
        <v>400</v>
      </c>
      <c r="AC27" s="5">
        <f t="shared" si="5"/>
        <v>1500</v>
      </c>
      <c r="AD27" s="2"/>
      <c r="AE27" s="2"/>
      <c r="AF27" s="2"/>
      <c r="AG27" s="2"/>
      <c r="AH27" s="5">
        <f t="shared" si="6"/>
        <v>0</v>
      </c>
      <c r="AI27" s="5">
        <f t="shared" si="7"/>
        <v>0</v>
      </c>
      <c r="AJ27" s="5">
        <f t="shared" si="8"/>
        <v>400</v>
      </c>
      <c r="AK27" s="5">
        <f t="shared" si="9"/>
        <v>1500</v>
      </c>
      <c r="AL27" s="5">
        <f t="shared" si="10"/>
        <v>400</v>
      </c>
      <c r="AM27" s="5">
        <f t="shared" si="11"/>
        <v>1500</v>
      </c>
    </row>
    <row r="28" spans="1:39" x14ac:dyDescent="0.25">
      <c r="A28" s="3" t="s">
        <v>113</v>
      </c>
      <c r="B28" s="2"/>
      <c r="C28" s="2"/>
      <c r="D28" s="2"/>
      <c r="E28" s="2"/>
      <c r="F28" s="5">
        <f t="shared" si="0"/>
        <v>0</v>
      </c>
      <c r="G28" s="5">
        <f t="shared" si="1"/>
        <v>0</v>
      </c>
      <c r="H28" s="2"/>
      <c r="I28" s="5">
        <f>100</f>
        <v>100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5">
        <f t="shared" si="2"/>
        <v>0</v>
      </c>
      <c r="U28" s="5">
        <f t="shared" si="3"/>
        <v>0</v>
      </c>
      <c r="V28" s="2"/>
      <c r="W28" s="2"/>
      <c r="X28" s="2"/>
      <c r="Y28" s="2"/>
      <c r="Z28" s="2"/>
      <c r="AA28" s="2"/>
      <c r="AB28" s="5">
        <f t="shared" si="4"/>
        <v>0</v>
      </c>
      <c r="AC28" s="5">
        <f t="shared" si="5"/>
        <v>0</v>
      </c>
      <c r="AD28" s="2"/>
      <c r="AE28" s="2"/>
      <c r="AF28" s="2"/>
      <c r="AG28" s="2"/>
      <c r="AH28" s="5">
        <f t="shared" si="6"/>
        <v>0</v>
      </c>
      <c r="AI28" s="5">
        <f t="shared" si="7"/>
        <v>0</v>
      </c>
      <c r="AJ28" s="5">
        <f t="shared" si="8"/>
        <v>0</v>
      </c>
      <c r="AK28" s="5">
        <f t="shared" si="9"/>
        <v>0</v>
      </c>
      <c r="AL28" s="5">
        <f t="shared" si="10"/>
        <v>0</v>
      </c>
      <c r="AM28" s="5">
        <f t="shared" si="11"/>
        <v>100</v>
      </c>
    </row>
    <row r="29" spans="1:39" x14ac:dyDescent="0.25">
      <c r="A29" s="3" t="s">
        <v>114</v>
      </c>
      <c r="B29" s="4">
        <f>(((B25)+(B26))+(B27))+(B28)</f>
        <v>0</v>
      </c>
      <c r="C29" s="4">
        <f>(((C25)+(C26))+(C27))+(C28)</f>
        <v>0</v>
      </c>
      <c r="D29" s="4">
        <f>(((D25)+(D26))+(D27))+(D28)</f>
        <v>0</v>
      </c>
      <c r="E29" s="4">
        <f>(((E25)+(E26))+(E27))+(E28)</f>
        <v>0</v>
      </c>
      <c r="F29" s="4">
        <f t="shared" si="0"/>
        <v>0</v>
      </c>
      <c r="G29" s="4">
        <f t="shared" si="1"/>
        <v>0</v>
      </c>
      <c r="H29" s="4">
        <f t="shared" ref="H29:S29" si="16">(((H25)+(H26))+(H27))+(H28)</f>
        <v>0</v>
      </c>
      <c r="I29" s="4">
        <f t="shared" si="16"/>
        <v>100</v>
      </c>
      <c r="J29" s="4">
        <f t="shared" si="16"/>
        <v>0</v>
      </c>
      <c r="K29" s="4">
        <f t="shared" si="16"/>
        <v>0</v>
      </c>
      <c r="L29" s="4">
        <f t="shared" si="16"/>
        <v>0</v>
      </c>
      <c r="M29" s="4">
        <f t="shared" si="16"/>
        <v>0</v>
      </c>
      <c r="N29" s="4">
        <f t="shared" si="16"/>
        <v>0</v>
      </c>
      <c r="O29" s="4">
        <f t="shared" si="16"/>
        <v>0</v>
      </c>
      <c r="P29" s="4">
        <f t="shared" si="16"/>
        <v>0</v>
      </c>
      <c r="Q29" s="4">
        <f t="shared" si="16"/>
        <v>0</v>
      </c>
      <c r="R29" s="4">
        <f t="shared" si="16"/>
        <v>0</v>
      </c>
      <c r="S29" s="4">
        <f t="shared" si="16"/>
        <v>0</v>
      </c>
      <c r="T29" s="4">
        <f t="shared" si="2"/>
        <v>0</v>
      </c>
      <c r="U29" s="4">
        <f t="shared" si="3"/>
        <v>0</v>
      </c>
      <c r="V29" s="4">
        <f t="shared" ref="V29:AA29" si="17">(((V25)+(V26))+(V27))+(V28)</f>
        <v>0</v>
      </c>
      <c r="W29" s="4">
        <f t="shared" si="17"/>
        <v>0</v>
      </c>
      <c r="X29" s="4">
        <f t="shared" si="17"/>
        <v>0</v>
      </c>
      <c r="Y29" s="4">
        <f t="shared" si="17"/>
        <v>0</v>
      </c>
      <c r="Z29" s="4">
        <f t="shared" si="17"/>
        <v>39685.07</v>
      </c>
      <c r="AA29" s="4">
        <f t="shared" si="17"/>
        <v>86450</v>
      </c>
      <c r="AB29" s="4">
        <f t="shared" si="4"/>
        <v>39685.07</v>
      </c>
      <c r="AC29" s="4">
        <f t="shared" si="5"/>
        <v>86450</v>
      </c>
      <c r="AD29" s="4">
        <f>(((AD25)+(AD26))+(AD27))+(AD28)</f>
        <v>0</v>
      </c>
      <c r="AE29" s="4">
        <f>(((AE25)+(AE26))+(AE27))+(AE28)</f>
        <v>0</v>
      </c>
      <c r="AF29" s="4">
        <f>(((AF25)+(AF26))+(AF27))+(AF28)</f>
        <v>0</v>
      </c>
      <c r="AG29" s="4">
        <f>(((AG25)+(AG26))+(AG27))+(AG28)</f>
        <v>0</v>
      </c>
      <c r="AH29" s="4">
        <f t="shared" si="6"/>
        <v>0</v>
      </c>
      <c r="AI29" s="4">
        <f t="shared" si="7"/>
        <v>0</v>
      </c>
      <c r="AJ29" s="4">
        <f t="shared" si="8"/>
        <v>39685.07</v>
      </c>
      <c r="AK29" s="4">
        <f t="shared" si="9"/>
        <v>86450</v>
      </c>
      <c r="AL29" s="4">
        <f t="shared" si="10"/>
        <v>39685.07</v>
      </c>
      <c r="AM29" s="4">
        <f t="shared" si="11"/>
        <v>86550</v>
      </c>
    </row>
    <row r="30" spans="1:39" x14ac:dyDescent="0.25">
      <c r="A30" s="3" t="s">
        <v>115</v>
      </c>
      <c r="B30" s="4">
        <f>((((((B19)+(B20))+(B21))+(B22))+(B23))+(B24))+(B29)</f>
        <v>0</v>
      </c>
      <c r="C30" s="4">
        <f>((((((C19)+(C20))+(C21))+(C22))+(C23))+(C24))+(C29)</f>
        <v>6613</v>
      </c>
      <c r="D30" s="4">
        <f>((((((D19)+(D20))+(D21))+(D22))+(D23))+(D24))+(D29)</f>
        <v>0</v>
      </c>
      <c r="E30" s="4">
        <f>((((((E19)+(E20))+(E21))+(E22))+(E23))+(E24))+(E29)</f>
        <v>0</v>
      </c>
      <c r="F30" s="4">
        <f t="shared" si="0"/>
        <v>0</v>
      </c>
      <c r="G30" s="4">
        <f t="shared" si="1"/>
        <v>6613</v>
      </c>
      <c r="H30" s="4">
        <f t="shared" ref="H30:S30" si="18">((((((H19)+(H20))+(H21))+(H22))+(H23))+(H24))+(H29)</f>
        <v>330.79</v>
      </c>
      <c r="I30" s="4">
        <f t="shared" si="18"/>
        <v>5100</v>
      </c>
      <c r="J30" s="4">
        <f t="shared" si="18"/>
        <v>0</v>
      </c>
      <c r="K30" s="4">
        <f t="shared" si="18"/>
        <v>0</v>
      </c>
      <c r="L30" s="4">
        <f t="shared" si="18"/>
        <v>0</v>
      </c>
      <c r="M30" s="4">
        <f t="shared" si="18"/>
        <v>0</v>
      </c>
      <c r="N30" s="4">
        <f t="shared" si="18"/>
        <v>0</v>
      </c>
      <c r="O30" s="4">
        <f t="shared" si="18"/>
        <v>0</v>
      </c>
      <c r="P30" s="4">
        <f t="shared" si="18"/>
        <v>0</v>
      </c>
      <c r="Q30" s="4">
        <f t="shared" si="18"/>
        <v>0</v>
      </c>
      <c r="R30" s="4">
        <f t="shared" si="18"/>
        <v>0</v>
      </c>
      <c r="S30" s="4">
        <f t="shared" si="18"/>
        <v>0</v>
      </c>
      <c r="T30" s="4">
        <f t="shared" si="2"/>
        <v>0</v>
      </c>
      <c r="U30" s="4">
        <f t="shared" si="3"/>
        <v>0</v>
      </c>
      <c r="V30" s="4">
        <f t="shared" ref="V30:AA30" si="19">((((((V19)+(V20))+(V21))+(V22))+(V23))+(V24))+(V29)</f>
        <v>0</v>
      </c>
      <c r="W30" s="4">
        <f t="shared" si="19"/>
        <v>105000</v>
      </c>
      <c r="X30" s="4">
        <f t="shared" si="19"/>
        <v>0</v>
      </c>
      <c r="Y30" s="4">
        <f t="shared" si="19"/>
        <v>0</v>
      </c>
      <c r="Z30" s="4">
        <f t="shared" si="19"/>
        <v>39685.07</v>
      </c>
      <c r="AA30" s="4">
        <f t="shared" si="19"/>
        <v>86750</v>
      </c>
      <c r="AB30" s="4">
        <f t="shared" si="4"/>
        <v>39685.07</v>
      </c>
      <c r="AC30" s="4">
        <f t="shared" si="5"/>
        <v>86750</v>
      </c>
      <c r="AD30" s="4">
        <f>((((((AD19)+(AD20))+(AD21))+(AD22))+(AD23))+(AD24))+(AD29)</f>
        <v>0</v>
      </c>
      <c r="AE30" s="4">
        <f>((((((AE19)+(AE20))+(AE21))+(AE22))+(AE23))+(AE24))+(AE29)</f>
        <v>2500</v>
      </c>
      <c r="AF30" s="4">
        <f>((((((AF19)+(AF20))+(AF21))+(AF22))+(AF23))+(AF24))+(AF29)</f>
        <v>0</v>
      </c>
      <c r="AG30" s="4">
        <f>((((((AG19)+(AG20))+(AG21))+(AG22))+(AG23))+(AG24))+(AG29)</f>
        <v>0</v>
      </c>
      <c r="AH30" s="4">
        <f t="shared" si="6"/>
        <v>0</v>
      </c>
      <c r="AI30" s="4">
        <f t="shared" si="7"/>
        <v>2500</v>
      </c>
      <c r="AJ30" s="4">
        <f t="shared" si="8"/>
        <v>39685.07</v>
      </c>
      <c r="AK30" s="4">
        <f t="shared" si="9"/>
        <v>194250</v>
      </c>
      <c r="AL30" s="4">
        <f t="shared" si="10"/>
        <v>40015.86</v>
      </c>
      <c r="AM30" s="4">
        <f t="shared" si="11"/>
        <v>205963</v>
      </c>
    </row>
    <row r="31" spans="1:39" x14ac:dyDescent="0.25">
      <c r="A31" s="3" t="s">
        <v>116</v>
      </c>
      <c r="B31" s="5">
        <f>525</f>
        <v>525</v>
      </c>
      <c r="C31" s="5">
        <f>1050</f>
        <v>1050</v>
      </c>
      <c r="D31" s="2"/>
      <c r="E31" s="2"/>
      <c r="F31" s="5">
        <f t="shared" si="0"/>
        <v>525</v>
      </c>
      <c r="G31" s="5">
        <f t="shared" si="1"/>
        <v>1050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5">
        <f t="shared" si="2"/>
        <v>0</v>
      </c>
      <c r="U31" s="5">
        <f t="shared" si="3"/>
        <v>0</v>
      </c>
      <c r="V31" s="2"/>
      <c r="W31" s="2"/>
      <c r="X31" s="2"/>
      <c r="Y31" s="2"/>
      <c r="Z31" s="2"/>
      <c r="AA31" s="2"/>
      <c r="AB31" s="5">
        <f t="shared" si="4"/>
        <v>0</v>
      </c>
      <c r="AC31" s="5">
        <f t="shared" si="5"/>
        <v>0</v>
      </c>
      <c r="AD31" s="2"/>
      <c r="AE31" s="2"/>
      <c r="AF31" s="2"/>
      <c r="AG31" s="2"/>
      <c r="AH31" s="5">
        <f t="shared" si="6"/>
        <v>0</v>
      </c>
      <c r="AI31" s="5">
        <f t="shared" si="7"/>
        <v>0</v>
      </c>
      <c r="AJ31" s="5">
        <f t="shared" si="8"/>
        <v>0</v>
      </c>
      <c r="AK31" s="5">
        <f t="shared" si="9"/>
        <v>0</v>
      </c>
      <c r="AL31" s="5">
        <f t="shared" si="10"/>
        <v>525</v>
      </c>
      <c r="AM31" s="5">
        <f t="shared" si="11"/>
        <v>1050</v>
      </c>
    </row>
    <row r="32" spans="1:39" x14ac:dyDescent="0.25">
      <c r="A32" s="3" t="s">
        <v>117</v>
      </c>
      <c r="B32" s="5">
        <f>133.16</f>
        <v>133.16</v>
      </c>
      <c r="C32" s="5">
        <f>500</f>
        <v>500</v>
      </c>
      <c r="D32" s="2"/>
      <c r="E32" s="2"/>
      <c r="F32" s="5">
        <f t="shared" si="0"/>
        <v>133.16</v>
      </c>
      <c r="G32" s="5">
        <f t="shared" si="1"/>
        <v>500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5">
        <f t="shared" si="2"/>
        <v>0</v>
      </c>
      <c r="U32" s="5">
        <f t="shared" si="3"/>
        <v>0</v>
      </c>
      <c r="V32" s="2"/>
      <c r="W32" s="2"/>
      <c r="X32" s="2"/>
      <c r="Y32" s="2"/>
      <c r="Z32" s="2"/>
      <c r="AA32" s="2"/>
      <c r="AB32" s="5">
        <f t="shared" si="4"/>
        <v>0</v>
      </c>
      <c r="AC32" s="5">
        <f t="shared" si="5"/>
        <v>0</v>
      </c>
      <c r="AD32" s="2"/>
      <c r="AE32" s="2"/>
      <c r="AF32" s="2"/>
      <c r="AG32" s="2"/>
      <c r="AH32" s="5">
        <f t="shared" si="6"/>
        <v>0</v>
      </c>
      <c r="AI32" s="5">
        <f t="shared" si="7"/>
        <v>0</v>
      </c>
      <c r="AJ32" s="5">
        <f t="shared" si="8"/>
        <v>0</v>
      </c>
      <c r="AK32" s="5">
        <f t="shared" si="9"/>
        <v>0</v>
      </c>
      <c r="AL32" s="5">
        <f t="shared" si="10"/>
        <v>133.16</v>
      </c>
      <c r="AM32" s="5">
        <f t="shared" si="11"/>
        <v>500</v>
      </c>
    </row>
    <row r="33" spans="1:39" x14ac:dyDescent="0.25">
      <c r="A33" s="3" t="s">
        <v>162</v>
      </c>
      <c r="B33" s="2"/>
      <c r="C33" s="2"/>
      <c r="D33" s="2"/>
      <c r="E33" s="2"/>
      <c r="F33" s="5">
        <f t="shared" si="0"/>
        <v>0</v>
      </c>
      <c r="G33" s="5">
        <f t="shared" si="1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5">
        <f t="shared" si="2"/>
        <v>0</v>
      </c>
      <c r="U33" s="5">
        <f t="shared" si="3"/>
        <v>0</v>
      </c>
      <c r="V33" s="2"/>
      <c r="W33" s="2"/>
      <c r="X33" s="2"/>
      <c r="Y33" s="2"/>
      <c r="Z33" s="2"/>
      <c r="AA33" s="2"/>
      <c r="AB33" s="5">
        <f t="shared" si="4"/>
        <v>0</v>
      </c>
      <c r="AC33" s="5">
        <f t="shared" si="5"/>
        <v>0</v>
      </c>
      <c r="AD33" s="2"/>
      <c r="AE33" s="2"/>
      <c r="AF33" s="2"/>
      <c r="AG33" s="2"/>
      <c r="AH33" s="5">
        <f t="shared" si="6"/>
        <v>0</v>
      </c>
      <c r="AI33" s="5">
        <f t="shared" si="7"/>
        <v>0</v>
      </c>
      <c r="AJ33" s="5">
        <f t="shared" si="8"/>
        <v>0</v>
      </c>
      <c r="AK33" s="5">
        <f t="shared" si="9"/>
        <v>0</v>
      </c>
      <c r="AL33" s="5">
        <f t="shared" si="10"/>
        <v>0</v>
      </c>
      <c r="AM33" s="5">
        <f t="shared" si="11"/>
        <v>0</v>
      </c>
    </row>
    <row r="34" spans="1:39" x14ac:dyDescent="0.25">
      <c r="A34" s="3" t="s">
        <v>161</v>
      </c>
      <c r="B34" s="2"/>
      <c r="C34" s="2"/>
      <c r="D34" s="2"/>
      <c r="E34" s="2"/>
      <c r="F34" s="5">
        <f t="shared" si="0"/>
        <v>0</v>
      </c>
      <c r="G34" s="5">
        <f t="shared" si="1"/>
        <v>0</v>
      </c>
      <c r="H34" s="5">
        <f>100</f>
        <v>100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5">
        <f t="shared" si="2"/>
        <v>0</v>
      </c>
      <c r="U34" s="5">
        <f t="shared" si="3"/>
        <v>0</v>
      </c>
      <c r="V34" s="2"/>
      <c r="W34" s="2"/>
      <c r="X34" s="2"/>
      <c r="Y34" s="2"/>
      <c r="Z34" s="2"/>
      <c r="AA34" s="2"/>
      <c r="AB34" s="5">
        <f t="shared" si="4"/>
        <v>0</v>
      </c>
      <c r="AC34" s="5">
        <f t="shared" si="5"/>
        <v>0</v>
      </c>
      <c r="AD34" s="2"/>
      <c r="AE34" s="2"/>
      <c r="AF34" s="2"/>
      <c r="AG34" s="2"/>
      <c r="AH34" s="5">
        <f t="shared" si="6"/>
        <v>0</v>
      </c>
      <c r="AI34" s="5">
        <f t="shared" si="7"/>
        <v>0</v>
      </c>
      <c r="AJ34" s="5">
        <f t="shared" si="8"/>
        <v>0</v>
      </c>
      <c r="AK34" s="5">
        <f t="shared" si="9"/>
        <v>0</v>
      </c>
      <c r="AL34" s="5">
        <f t="shared" si="10"/>
        <v>100</v>
      </c>
      <c r="AM34" s="5">
        <f t="shared" si="11"/>
        <v>0</v>
      </c>
    </row>
    <row r="35" spans="1:39" x14ac:dyDescent="0.25">
      <c r="A35" s="3" t="s">
        <v>160</v>
      </c>
      <c r="B35" s="4">
        <f>(B33)+(B34)</f>
        <v>0</v>
      </c>
      <c r="C35" s="4">
        <f>(C33)+(C34)</f>
        <v>0</v>
      </c>
      <c r="D35" s="4">
        <f>(D33)+(D34)</f>
        <v>0</v>
      </c>
      <c r="E35" s="4">
        <f>(E33)+(E34)</f>
        <v>0</v>
      </c>
      <c r="F35" s="4">
        <f t="shared" si="0"/>
        <v>0</v>
      </c>
      <c r="G35" s="4">
        <f t="shared" si="1"/>
        <v>0</v>
      </c>
      <c r="H35" s="4">
        <f t="shared" ref="H35:S35" si="20">(H33)+(H34)</f>
        <v>100</v>
      </c>
      <c r="I35" s="4">
        <f t="shared" si="20"/>
        <v>0</v>
      </c>
      <c r="J35" s="4">
        <f t="shared" si="20"/>
        <v>0</v>
      </c>
      <c r="K35" s="4">
        <f t="shared" si="20"/>
        <v>0</v>
      </c>
      <c r="L35" s="4">
        <f t="shared" si="20"/>
        <v>0</v>
      </c>
      <c r="M35" s="4">
        <f t="shared" si="20"/>
        <v>0</v>
      </c>
      <c r="N35" s="4">
        <f t="shared" si="20"/>
        <v>0</v>
      </c>
      <c r="O35" s="4">
        <f t="shared" si="20"/>
        <v>0</v>
      </c>
      <c r="P35" s="4">
        <f t="shared" si="20"/>
        <v>0</v>
      </c>
      <c r="Q35" s="4">
        <f t="shared" si="20"/>
        <v>0</v>
      </c>
      <c r="R35" s="4">
        <f t="shared" si="20"/>
        <v>0</v>
      </c>
      <c r="S35" s="4">
        <f t="shared" si="20"/>
        <v>0</v>
      </c>
      <c r="T35" s="4">
        <f t="shared" si="2"/>
        <v>0</v>
      </c>
      <c r="U35" s="4">
        <f t="shared" si="3"/>
        <v>0</v>
      </c>
      <c r="V35" s="4">
        <f t="shared" ref="V35:AA35" si="21">(V33)+(V34)</f>
        <v>0</v>
      </c>
      <c r="W35" s="4">
        <f t="shared" si="21"/>
        <v>0</v>
      </c>
      <c r="X35" s="4">
        <f t="shared" si="21"/>
        <v>0</v>
      </c>
      <c r="Y35" s="4">
        <f t="shared" si="21"/>
        <v>0</v>
      </c>
      <c r="Z35" s="4">
        <f t="shared" si="21"/>
        <v>0</v>
      </c>
      <c r="AA35" s="4">
        <f t="shared" si="21"/>
        <v>0</v>
      </c>
      <c r="AB35" s="4">
        <f t="shared" si="4"/>
        <v>0</v>
      </c>
      <c r="AC35" s="4">
        <f t="shared" si="5"/>
        <v>0</v>
      </c>
      <c r="AD35" s="4">
        <f>(AD33)+(AD34)</f>
        <v>0</v>
      </c>
      <c r="AE35" s="4">
        <f>(AE33)+(AE34)</f>
        <v>0</v>
      </c>
      <c r="AF35" s="4">
        <f>(AF33)+(AF34)</f>
        <v>0</v>
      </c>
      <c r="AG35" s="4">
        <f>(AG33)+(AG34)</f>
        <v>0</v>
      </c>
      <c r="AH35" s="4">
        <f t="shared" si="6"/>
        <v>0</v>
      </c>
      <c r="AI35" s="4">
        <f t="shared" si="7"/>
        <v>0</v>
      </c>
      <c r="AJ35" s="4">
        <f t="shared" si="8"/>
        <v>0</v>
      </c>
      <c r="AK35" s="4">
        <f t="shared" si="9"/>
        <v>0</v>
      </c>
      <c r="AL35" s="4">
        <f t="shared" si="10"/>
        <v>100</v>
      </c>
      <c r="AM35" s="4">
        <f t="shared" si="11"/>
        <v>0</v>
      </c>
    </row>
    <row r="36" spans="1:39" x14ac:dyDescent="0.25">
      <c r="A36" s="3" t="s">
        <v>14</v>
      </c>
      <c r="B36" s="4">
        <f>(((((B12)+(B18))+(B30))+(B31))+(B32))+(B35)</f>
        <v>110832.16</v>
      </c>
      <c r="C36" s="4">
        <f>(((((C12)+(C18))+(C30))+(C31))+(C32))+(C35)</f>
        <v>208663</v>
      </c>
      <c r="D36" s="4">
        <f>(((((D12)+(D18))+(D30))+(D31))+(D32))+(D35)</f>
        <v>0</v>
      </c>
      <c r="E36" s="4">
        <f>(((((E12)+(E18))+(E30))+(E31))+(E32))+(E35)</f>
        <v>0</v>
      </c>
      <c r="F36" s="4">
        <f t="shared" si="0"/>
        <v>110832.16</v>
      </c>
      <c r="G36" s="4">
        <f t="shared" si="1"/>
        <v>208663</v>
      </c>
      <c r="H36" s="4">
        <f t="shared" ref="H36:S36" si="22">(((((H12)+(H18))+(H30))+(H31))+(H32))+(H35)</f>
        <v>17055.47</v>
      </c>
      <c r="I36" s="4">
        <f t="shared" si="22"/>
        <v>131100</v>
      </c>
      <c r="J36" s="4">
        <f t="shared" si="22"/>
        <v>0</v>
      </c>
      <c r="K36" s="4">
        <f t="shared" si="22"/>
        <v>0</v>
      </c>
      <c r="L36" s="4">
        <f t="shared" si="22"/>
        <v>0</v>
      </c>
      <c r="M36" s="4">
        <f t="shared" si="22"/>
        <v>0</v>
      </c>
      <c r="N36" s="4">
        <f t="shared" si="22"/>
        <v>0</v>
      </c>
      <c r="O36" s="4">
        <f t="shared" si="22"/>
        <v>0</v>
      </c>
      <c r="P36" s="4">
        <f t="shared" si="22"/>
        <v>0</v>
      </c>
      <c r="Q36" s="4">
        <f t="shared" si="22"/>
        <v>0</v>
      </c>
      <c r="R36" s="4">
        <f t="shared" si="22"/>
        <v>0</v>
      </c>
      <c r="S36" s="4">
        <f t="shared" si="22"/>
        <v>0</v>
      </c>
      <c r="T36" s="4">
        <f t="shared" si="2"/>
        <v>0</v>
      </c>
      <c r="U36" s="4">
        <f t="shared" si="3"/>
        <v>0</v>
      </c>
      <c r="V36" s="4">
        <f t="shared" ref="V36:AA36" si="23">(((((V12)+(V18))+(V30))+(V31))+(V32))+(V35)</f>
        <v>0</v>
      </c>
      <c r="W36" s="4">
        <f t="shared" si="23"/>
        <v>119000</v>
      </c>
      <c r="X36" s="4">
        <f t="shared" si="23"/>
        <v>0</v>
      </c>
      <c r="Y36" s="4">
        <f t="shared" si="23"/>
        <v>0</v>
      </c>
      <c r="Z36" s="4">
        <f t="shared" si="23"/>
        <v>39685.07</v>
      </c>
      <c r="AA36" s="4">
        <f t="shared" si="23"/>
        <v>91750</v>
      </c>
      <c r="AB36" s="4">
        <f t="shared" si="4"/>
        <v>39685.07</v>
      </c>
      <c r="AC36" s="4">
        <f t="shared" si="5"/>
        <v>91750</v>
      </c>
      <c r="AD36" s="4">
        <f>(((((AD12)+(AD18))+(AD30))+(AD31))+(AD32))+(AD35)</f>
        <v>0</v>
      </c>
      <c r="AE36" s="4">
        <f>(((((AE12)+(AE18))+(AE30))+(AE31))+(AE32))+(AE35)</f>
        <v>2500</v>
      </c>
      <c r="AF36" s="4">
        <f>(((((AF12)+(AF18))+(AF30))+(AF31))+(AF32))+(AF35)</f>
        <v>23411.64</v>
      </c>
      <c r="AG36" s="4">
        <f>(((((AG12)+(AG18))+(AG30))+(AG31))+(AG32))+(AG35)</f>
        <v>22000</v>
      </c>
      <c r="AH36" s="4">
        <f t="shared" si="6"/>
        <v>23411.64</v>
      </c>
      <c r="AI36" s="4">
        <f t="shared" si="7"/>
        <v>24500</v>
      </c>
      <c r="AJ36" s="4">
        <f t="shared" si="8"/>
        <v>63096.71</v>
      </c>
      <c r="AK36" s="4">
        <f t="shared" si="9"/>
        <v>235250</v>
      </c>
      <c r="AL36" s="4">
        <f t="shared" si="10"/>
        <v>190984.34</v>
      </c>
      <c r="AM36" s="4">
        <f t="shared" si="11"/>
        <v>575013</v>
      </c>
    </row>
    <row r="37" spans="1:39" x14ac:dyDescent="0.25">
      <c r="A37" s="3" t="s">
        <v>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5">
      <c r="A38" s="3" t="s">
        <v>118</v>
      </c>
      <c r="B38" s="2"/>
      <c r="C38" s="2"/>
      <c r="D38" s="2"/>
      <c r="E38" s="2"/>
      <c r="F38" s="5">
        <f t="shared" ref="F38:G41" si="24">(B38)+(D38)</f>
        <v>0</v>
      </c>
      <c r="G38" s="5">
        <f t="shared" si="24"/>
        <v>0</v>
      </c>
      <c r="H38" s="5">
        <f>81.22</f>
        <v>81.22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5">
        <f t="shared" ref="T38:U41" si="25">(((L38)+(N38))+(P38))+(R38)</f>
        <v>0</v>
      </c>
      <c r="U38" s="5">
        <f t="shared" si="25"/>
        <v>0</v>
      </c>
      <c r="V38" s="2"/>
      <c r="W38" s="2"/>
      <c r="X38" s="2"/>
      <c r="Y38" s="2"/>
      <c r="Z38" s="2"/>
      <c r="AA38" s="2"/>
      <c r="AB38" s="5">
        <f t="shared" ref="AB38:AC41" si="26">(X38)+(Z38)</f>
        <v>0</v>
      </c>
      <c r="AC38" s="5">
        <f t="shared" si="26"/>
        <v>0</v>
      </c>
      <c r="AD38" s="2"/>
      <c r="AE38" s="2"/>
      <c r="AF38" s="2"/>
      <c r="AG38" s="2"/>
      <c r="AH38" s="5">
        <f t="shared" ref="AH38:AI41" si="27">(AD38)+(AF38)</f>
        <v>0</v>
      </c>
      <c r="AI38" s="5">
        <f t="shared" si="27"/>
        <v>0</v>
      </c>
      <c r="AJ38" s="5">
        <f t="shared" ref="AJ38:AK41" si="28">((((J38)+(T38))+(V38))+(AB38))+(AH38)</f>
        <v>0</v>
      </c>
      <c r="AK38" s="5">
        <f t="shared" si="28"/>
        <v>0</v>
      </c>
      <c r="AL38" s="5">
        <f t="shared" ref="AL38:AM41" si="29">((F38)+(H38))+(AJ38)</f>
        <v>81.22</v>
      </c>
      <c r="AM38" s="5">
        <f t="shared" si="29"/>
        <v>0</v>
      </c>
    </row>
    <row r="39" spans="1:39" x14ac:dyDescent="0.25">
      <c r="A39" s="3" t="s">
        <v>149</v>
      </c>
      <c r="B39" s="2"/>
      <c r="C39" s="2"/>
      <c r="D39" s="2"/>
      <c r="E39" s="2"/>
      <c r="F39" s="5">
        <f t="shared" si="24"/>
        <v>0</v>
      </c>
      <c r="G39" s="5">
        <f t="shared" si="24"/>
        <v>0</v>
      </c>
      <c r="H39" s="5">
        <f>399.47</f>
        <v>399.47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5">
        <f t="shared" si="25"/>
        <v>0</v>
      </c>
      <c r="U39" s="5">
        <f t="shared" si="25"/>
        <v>0</v>
      </c>
      <c r="V39" s="2"/>
      <c r="W39" s="2"/>
      <c r="X39" s="2"/>
      <c r="Y39" s="2"/>
      <c r="Z39" s="2"/>
      <c r="AA39" s="2"/>
      <c r="AB39" s="5">
        <f t="shared" si="26"/>
        <v>0</v>
      </c>
      <c r="AC39" s="5">
        <f t="shared" si="26"/>
        <v>0</v>
      </c>
      <c r="AD39" s="2"/>
      <c r="AE39" s="2"/>
      <c r="AF39" s="2"/>
      <c r="AG39" s="2"/>
      <c r="AH39" s="5">
        <f t="shared" si="27"/>
        <v>0</v>
      </c>
      <c r="AI39" s="5">
        <f t="shared" si="27"/>
        <v>0</v>
      </c>
      <c r="AJ39" s="5">
        <f t="shared" si="28"/>
        <v>0</v>
      </c>
      <c r="AK39" s="5">
        <f t="shared" si="28"/>
        <v>0</v>
      </c>
      <c r="AL39" s="5">
        <f t="shared" si="29"/>
        <v>399.47</v>
      </c>
      <c r="AM39" s="5">
        <f t="shared" si="29"/>
        <v>0</v>
      </c>
    </row>
    <row r="40" spans="1:39" x14ac:dyDescent="0.25">
      <c r="A40" s="3" t="s">
        <v>119</v>
      </c>
      <c r="B40" s="4">
        <f>(B38)+(B39)</f>
        <v>0</v>
      </c>
      <c r="C40" s="4">
        <f>(C38)+(C39)</f>
        <v>0</v>
      </c>
      <c r="D40" s="4">
        <f>(D38)+(D39)</f>
        <v>0</v>
      </c>
      <c r="E40" s="4">
        <f>(E38)+(E39)</f>
        <v>0</v>
      </c>
      <c r="F40" s="4">
        <f t="shared" si="24"/>
        <v>0</v>
      </c>
      <c r="G40" s="4">
        <f t="shared" si="24"/>
        <v>0</v>
      </c>
      <c r="H40" s="4">
        <f t="shared" ref="H40:S40" si="30">(H38)+(H39)</f>
        <v>480.69000000000005</v>
      </c>
      <c r="I40" s="4">
        <f t="shared" si="30"/>
        <v>0</v>
      </c>
      <c r="J40" s="4">
        <f t="shared" si="30"/>
        <v>0</v>
      </c>
      <c r="K40" s="4">
        <f t="shared" si="30"/>
        <v>0</v>
      </c>
      <c r="L40" s="4">
        <f t="shared" si="30"/>
        <v>0</v>
      </c>
      <c r="M40" s="4">
        <f t="shared" si="30"/>
        <v>0</v>
      </c>
      <c r="N40" s="4">
        <f t="shared" si="30"/>
        <v>0</v>
      </c>
      <c r="O40" s="4">
        <f t="shared" si="30"/>
        <v>0</v>
      </c>
      <c r="P40" s="4">
        <f t="shared" si="30"/>
        <v>0</v>
      </c>
      <c r="Q40" s="4">
        <f t="shared" si="30"/>
        <v>0</v>
      </c>
      <c r="R40" s="4">
        <f t="shared" si="30"/>
        <v>0</v>
      </c>
      <c r="S40" s="4">
        <f t="shared" si="30"/>
        <v>0</v>
      </c>
      <c r="T40" s="4">
        <f t="shared" si="25"/>
        <v>0</v>
      </c>
      <c r="U40" s="4">
        <f t="shared" si="25"/>
        <v>0</v>
      </c>
      <c r="V40" s="4">
        <f t="shared" ref="V40:AA40" si="31">(V38)+(V39)</f>
        <v>0</v>
      </c>
      <c r="W40" s="4">
        <f t="shared" si="31"/>
        <v>0</v>
      </c>
      <c r="X40" s="4">
        <f t="shared" si="31"/>
        <v>0</v>
      </c>
      <c r="Y40" s="4">
        <f t="shared" si="31"/>
        <v>0</v>
      </c>
      <c r="Z40" s="4">
        <f t="shared" si="31"/>
        <v>0</v>
      </c>
      <c r="AA40" s="4">
        <f t="shared" si="31"/>
        <v>0</v>
      </c>
      <c r="AB40" s="4">
        <f t="shared" si="26"/>
        <v>0</v>
      </c>
      <c r="AC40" s="4">
        <f t="shared" si="26"/>
        <v>0</v>
      </c>
      <c r="AD40" s="4">
        <f>(AD38)+(AD39)</f>
        <v>0</v>
      </c>
      <c r="AE40" s="4">
        <f>(AE38)+(AE39)</f>
        <v>0</v>
      </c>
      <c r="AF40" s="4">
        <f>(AF38)+(AF39)</f>
        <v>0</v>
      </c>
      <c r="AG40" s="4">
        <f>(AG38)+(AG39)</f>
        <v>0</v>
      </c>
      <c r="AH40" s="4">
        <f t="shared" si="27"/>
        <v>0</v>
      </c>
      <c r="AI40" s="4">
        <f t="shared" si="27"/>
        <v>0</v>
      </c>
      <c r="AJ40" s="4">
        <f t="shared" si="28"/>
        <v>0</v>
      </c>
      <c r="AK40" s="4">
        <f t="shared" si="28"/>
        <v>0</v>
      </c>
      <c r="AL40" s="4">
        <f t="shared" si="29"/>
        <v>480.69000000000005</v>
      </c>
      <c r="AM40" s="4">
        <f t="shared" si="29"/>
        <v>0</v>
      </c>
    </row>
    <row r="41" spans="1:39" x14ac:dyDescent="0.25">
      <c r="A41" s="3" t="s">
        <v>16</v>
      </c>
      <c r="B41" s="4">
        <f>(B36)-(B40)</f>
        <v>110832.16</v>
      </c>
      <c r="C41" s="4">
        <f>(C36)-(C40)</f>
        <v>208663</v>
      </c>
      <c r="D41" s="4">
        <f>(D36)-(D40)</f>
        <v>0</v>
      </c>
      <c r="E41" s="4">
        <f>(E36)-(E40)</f>
        <v>0</v>
      </c>
      <c r="F41" s="4">
        <f t="shared" si="24"/>
        <v>110832.16</v>
      </c>
      <c r="G41" s="4">
        <f t="shared" si="24"/>
        <v>208663</v>
      </c>
      <c r="H41" s="4">
        <f t="shared" ref="H41:S41" si="32">(H36)-(H40)</f>
        <v>16574.780000000002</v>
      </c>
      <c r="I41" s="4">
        <f t="shared" si="32"/>
        <v>131100</v>
      </c>
      <c r="J41" s="4">
        <f t="shared" si="32"/>
        <v>0</v>
      </c>
      <c r="K41" s="4">
        <f t="shared" si="32"/>
        <v>0</v>
      </c>
      <c r="L41" s="4">
        <f t="shared" si="32"/>
        <v>0</v>
      </c>
      <c r="M41" s="4">
        <f t="shared" si="32"/>
        <v>0</v>
      </c>
      <c r="N41" s="4">
        <f t="shared" si="32"/>
        <v>0</v>
      </c>
      <c r="O41" s="4">
        <f t="shared" si="32"/>
        <v>0</v>
      </c>
      <c r="P41" s="4">
        <f t="shared" si="32"/>
        <v>0</v>
      </c>
      <c r="Q41" s="4">
        <f t="shared" si="32"/>
        <v>0</v>
      </c>
      <c r="R41" s="4">
        <f t="shared" si="32"/>
        <v>0</v>
      </c>
      <c r="S41" s="4">
        <f t="shared" si="32"/>
        <v>0</v>
      </c>
      <c r="T41" s="4">
        <f t="shared" si="25"/>
        <v>0</v>
      </c>
      <c r="U41" s="4">
        <f t="shared" si="25"/>
        <v>0</v>
      </c>
      <c r="V41" s="4">
        <f t="shared" ref="V41:AA41" si="33">(V36)-(V40)</f>
        <v>0</v>
      </c>
      <c r="W41" s="4">
        <f t="shared" si="33"/>
        <v>119000</v>
      </c>
      <c r="X41" s="4">
        <f t="shared" si="33"/>
        <v>0</v>
      </c>
      <c r="Y41" s="4">
        <f t="shared" si="33"/>
        <v>0</v>
      </c>
      <c r="Z41" s="4">
        <f t="shared" si="33"/>
        <v>39685.07</v>
      </c>
      <c r="AA41" s="4">
        <f t="shared" si="33"/>
        <v>91750</v>
      </c>
      <c r="AB41" s="4">
        <f t="shared" si="26"/>
        <v>39685.07</v>
      </c>
      <c r="AC41" s="4">
        <f t="shared" si="26"/>
        <v>91750</v>
      </c>
      <c r="AD41" s="4">
        <f>(AD36)-(AD40)</f>
        <v>0</v>
      </c>
      <c r="AE41" s="4">
        <f>(AE36)-(AE40)</f>
        <v>2500</v>
      </c>
      <c r="AF41" s="4">
        <f>(AF36)-(AF40)</f>
        <v>23411.64</v>
      </c>
      <c r="AG41" s="4">
        <f>(AG36)-(AG40)</f>
        <v>22000</v>
      </c>
      <c r="AH41" s="4">
        <f t="shared" si="27"/>
        <v>23411.64</v>
      </c>
      <c r="AI41" s="4">
        <f t="shared" si="27"/>
        <v>24500</v>
      </c>
      <c r="AJ41" s="4">
        <f t="shared" si="28"/>
        <v>63096.71</v>
      </c>
      <c r="AK41" s="4">
        <f t="shared" si="28"/>
        <v>235250</v>
      </c>
      <c r="AL41" s="4">
        <f t="shared" si="29"/>
        <v>190503.65</v>
      </c>
      <c r="AM41" s="4">
        <f t="shared" si="29"/>
        <v>575013</v>
      </c>
    </row>
    <row r="42" spans="1:39" x14ac:dyDescent="0.25">
      <c r="A42" s="3" t="s">
        <v>120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25">
      <c r="A43" s="3" t="s">
        <v>121</v>
      </c>
      <c r="B43" s="4">
        <v>5384.3600000000006</v>
      </c>
      <c r="C43" s="4">
        <v>26204.579999999994</v>
      </c>
      <c r="D43" s="4">
        <v>4336.2599999999993</v>
      </c>
      <c r="E43" s="4">
        <v>13440.03</v>
      </c>
      <c r="F43" s="4">
        <v>9720.619999999999</v>
      </c>
      <c r="G43" s="4">
        <v>39644.609999999993</v>
      </c>
      <c r="H43" s="4">
        <v>5394.33</v>
      </c>
      <c r="I43" s="4">
        <v>45659.68</v>
      </c>
      <c r="J43" s="4">
        <v>0</v>
      </c>
      <c r="K43" s="4">
        <v>0</v>
      </c>
      <c r="L43" s="4">
        <v>0</v>
      </c>
      <c r="M43" s="4">
        <v>0</v>
      </c>
      <c r="N43" s="4">
        <v>1215.4200000000003</v>
      </c>
      <c r="O43" s="4">
        <v>11722.269999999999</v>
      </c>
      <c r="P43" s="4">
        <v>1224.42</v>
      </c>
      <c r="Q43" s="4">
        <v>5030.8599999999997</v>
      </c>
      <c r="R43" s="4">
        <v>12326.48</v>
      </c>
      <c r="S43" s="4">
        <v>56922.07</v>
      </c>
      <c r="T43" s="4">
        <v>14766.32</v>
      </c>
      <c r="U43" s="4">
        <v>73675.199999999997</v>
      </c>
      <c r="V43" s="4">
        <v>1068.94</v>
      </c>
      <c r="W43" s="4">
        <v>8938.2800000000025</v>
      </c>
      <c r="X43" s="4">
        <v>0</v>
      </c>
      <c r="Y43" s="4">
        <v>0</v>
      </c>
      <c r="Z43" s="4">
        <v>7631.6</v>
      </c>
      <c r="AA43" s="4">
        <v>39424.19</v>
      </c>
      <c r="AB43" s="4">
        <v>7631.6</v>
      </c>
      <c r="AC43" s="4">
        <v>39424.19</v>
      </c>
      <c r="AD43" s="4">
        <v>27763.490000000005</v>
      </c>
      <c r="AE43" s="4">
        <v>121887.80000000002</v>
      </c>
      <c r="AF43" s="4">
        <v>6753.36</v>
      </c>
      <c r="AG43" s="4">
        <v>26027.51</v>
      </c>
      <c r="AH43" s="4">
        <v>34516.850000000006</v>
      </c>
      <c r="AI43" s="4">
        <v>147915.31000000003</v>
      </c>
      <c r="AJ43" s="4">
        <v>57983.710000000006</v>
      </c>
      <c r="AK43" s="4">
        <v>269952.98000000004</v>
      </c>
      <c r="AL43" s="4">
        <v>73098.66</v>
      </c>
      <c r="AM43" s="4">
        <v>355257.27</v>
      </c>
    </row>
    <row r="44" spans="1:39" x14ac:dyDescent="0.25">
      <c r="A44" s="3" t="s">
        <v>122</v>
      </c>
      <c r="B44" s="5">
        <f>980</f>
        <v>980</v>
      </c>
      <c r="C44" s="5">
        <f>2000</f>
        <v>2000</v>
      </c>
      <c r="D44" s="2"/>
      <c r="E44" s="2"/>
      <c r="F44" s="5">
        <f t="shared" ref="F44:F57" si="34">(B44)+(D44)</f>
        <v>980</v>
      </c>
      <c r="G44" s="5">
        <f t="shared" ref="G44:G57" si="35">(C44)+(E44)</f>
        <v>2000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5">
        <f t="shared" ref="T44:T57" si="36">(((L44)+(N44))+(P44))+(R44)</f>
        <v>0</v>
      </c>
      <c r="U44" s="5">
        <f t="shared" ref="U44:U57" si="37">(((M44)+(O44))+(Q44))+(S44)</f>
        <v>0</v>
      </c>
      <c r="V44" s="2"/>
      <c r="W44" s="2"/>
      <c r="X44" s="2"/>
      <c r="Y44" s="2"/>
      <c r="Z44" s="2"/>
      <c r="AA44" s="2"/>
      <c r="AB44" s="5">
        <f t="shared" ref="AB44:AB57" si="38">(X44)+(Z44)</f>
        <v>0</v>
      </c>
      <c r="AC44" s="5">
        <f t="shared" ref="AC44:AC57" si="39">(Y44)+(AA44)</f>
        <v>0</v>
      </c>
      <c r="AD44" s="2"/>
      <c r="AE44" s="2"/>
      <c r="AF44" s="2"/>
      <c r="AG44" s="2"/>
      <c r="AH44" s="5">
        <f t="shared" ref="AH44:AH57" si="40">(AD44)+(AF44)</f>
        <v>0</v>
      </c>
      <c r="AI44" s="5">
        <f t="shared" ref="AI44:AI57" si="41">(AE44)+(AG44)</f>
        <v>0</v>
      </c>
      <c r="AJ44" s="5">
        <f t="shared" ref="AJ44:AJ57" si="42">((((J44)+(T44))+(V44))+(AB44))+(AH44)</f>
        <v>0</v>
      </c>
      <c r="AK44" s="5">
        <f t="shared" ref="AK44:AK57" si="43">((((K44)+(U44))+(W44))+(AC44))+(AI44)</f>
        <v>0</v>
      </c>
      <c r="AL44" s="5">
        <f t="shared" ref="AL44:AL57" si="44">((F44)+(H44))+(AJ44)</f>
        <v>980</v>
      </c>
      <c r="AM44" s="5">
        <f t="shared" ref="AM44:AM57" si="45">((G44)+(I44))+(AK44)</f>
        <v>2000</v>
      </c>
    </row>
    <row r="45" spans="1:39" x14ac:dyDescent="0.25">
      <c r="A45" s="3" t="s">
        <v>123</v>
      </c>
      <c r="B45" s="2"/>
      <c r="C45" s="5">
        <f>2000</f>
        <v>2000</v>
      </c>
      <c r="D45" s="2"/>
      <c r="E45" s="2"/>
      <c r="F45" s="5">
        <f t="shared" si="34"/>
        <v>0</v>
      </c>
      <c r="G45" s="5">
        <f t="shared" si="35"/>
        <v>2000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5">
        <f t="shared" si="36"/>
        <v>0</v>
      </c>
      <c r="U45" s="5">
        <f t="shared" si="37"/>
        <v>0</v>
      </c>
      <c r="V45" s="2"/>
      <c r="W45" s="2"/>
      <c r="X45" s="2"/>
      <c r="Y45" s="2"/>
      <c r="Z45" s="2"/>
      <c r="AA45" s="2"/>
      <c r="AB45" s="5">
        <f t="shared" si="38"/>
        <v>0</v>
      </c>
      <c r="AC45" s="5">
        <f t="shared" si="39"/>
        <v>0</v>
      </c>
      <c r="AD45" s="2"/>
      <c r="AE45" s="2"/>
      <c r="AF45" s="2"/>
      <c r="AG45" s="2"/>
      <c r="AH45" s="5">
        <f t="shared" si="40"/>
        <v>0</v>
      </c>
      <c r="AI45" s="5">
        <f t="shared" si="41"/>
        <v>0</v>
      </c>
      <c r="AJ45" s="5">
        <f t="shared" si="42"/>
        <v>0</v>
      </c>
      <c r="AK45" s="5">
        <f t="shared" si="43"/>
        <v>0</v>
      </c>
      <c r="AL45" s="5">
        <f t="shared" si="44"/>
        <v>0</v>
      </c>
      <c r="AM45" s="5">
        <f t="shared" si="45"/>
        <v>2000</v>
      </c>
    </row>
    <row r="46" spans="1:39" x14ac:dyDescent="0.25">
      <c r="A46" s="3" t="s">
        <v>124</v>
      </c>
      <c r="B46" s="5">
        <f>650.06</f>
        <v>650.05999999999995</v>
      </c>
      <c r="C46" s="5">
        <f>510</f>
        <v>510</v>
      </c>
      <c r="D46" s="2"/>
      <c r="E46" s="2"/>
      <c r="F46" s="5">
        <f t="shared" si="34"/>
        <v>650.05999999999995</v>
      </c>
      <c r="G46" s="5">
        <f t="shared" si="35"/>
        <v>510</v>
      </c>
      <c r="H46" s="5">
        <f>532.78</f>
        <v>532.78</v>
      </c>
      <c r="I46" s="5">
        <f>2380</f>
        <v>2380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5">
        <f t="shared" si="36"/>
        <v>0</v>
      </c>
      <c r="U46" s="5">
        <f t="shared" si="37"/>
        <v>0</v>
      </c>
      <c r="V46" s="2"/>
      <c r="W46" s="2"/>
      <c r="X46" s="2"/>
      <c r="Y46" s="2"/>
      <c r="Z46" s="5">
        <f>331.11</f>
        <v>331.11</v>
      </c>
      <c r="AA46" s="5">
        <f>800</f>
        <v>800</v>
      </c>
      <c r="AB46" s="5">
        <f t="shared" si="38"/>
        <v>331.11</v>
      </c>
      <c r="AC46" s="5">
        <f t="shared" si="39"/>
        <v>800</v>
      </c>
      <c r="AD46" s="2"/>
      <c r="AE46" s="2"/>
      <c r="AF46" s="5">
        <f>200.9</f>
        <v>200.9</v>
      </c>
      <c r="AG46" s="2"/>
      <c r="AH46" s="5">
        <f t="shared" si="40"/>
        <v>200.9</v>
      </c>
      <c r="AI46" s="5">
        <f t="shared" si="41"/>
        <v>0</v>
      </c>
      <c r="AJ46" s="5">
        <f t="shared" si="42"/>
        <v>532.01</v>
      </c>
      <c r="AK46" s="5">
        <f t="shared" si="43"/>
        <v>800</v>
      </c>
      <c r="AL46" s="5">
        <f t="shared" si="44"/>
        <v>1714.85</v>
      </c>
      <c r="AM46" s="5">
        <f t="shared" si="45"/>
        <v>3690</v>
      </c>
    </row>
    <row r="47" spans="1:39" x14ac:dyDescent="0.25">
      <c r="A47" s="3" t="s">
        <v>125</v>
      </c>
      <c r="B47" s="5">
        <f>1190</f>
        <v>1190</v>
      </c>
      <c r="C47" s="5">
        <f>1241</f>
        <v>1241</v>
      </c>
      <c r="D47" s="2"/>
      <c r="E47" s="2"/>
      <c r="F47" s="5">
        <f t="shared" si="34"/>
        <v>1190</v>
      </c>
      <c r="G47" s="5">
        <f t="shared" si="35"/>
        <v>1241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5">
        <f t="shared" si="36"/>
        <v>0</v>
      </c>
      <c r="U47" s="5">
        <f t="shared" si="37"/>
        <v>0</v>
      </c>
      <c r="V47" s="2"/>
      <c r="W47" s="2"/>
      <c r="X47" s="2"/>
      <c r="Y47" s="2"/>
      <c r="Z47" s="2"/>
      <c r="AA47" s="2"/>
      <c r="AB47" s="5">
        <f t="shared" si="38"/>
        <v>0</v>
      </c>
      <c r="AC47" s="5">
        <f t="shared" si="39"/>
        <v>0</v>
      </c>
      <c r="AD47" s="5">
        <f>382.5</f>
        <v>382.5</v>
      </c>
      <c r="AE47" s="5">
        <f>3200</f>
        <v>3200</v>
      </c>
      <c r="AF47" s="2"/>
      <c r="AG47" s="2"/>
      <c r="AH47" s="5">
        <f t="shared" si="40"/>
        <v>382.5</v>
      </c>
      <c r="AI47" s="5">
        <f t="shared" si="41"/>
        <v>3200</v>
      </c>
      <c r="AJ47" s="5">
        <f t="shared" si="42"/>
        <v>382.5</v>
      </c>
      <c r="AK47" s="5">
        <f t="shared" si="43"/>
        <v>3200</v>
      </c>
      <c r="AL47" s="5">
        <f t="shared" si="44"/>
        <v>1572.5</v>
      </c>
      <c r="AM47" s="5">
        <f t="shared" si="45"/>
        <v>4441</v>
      </c>
    </row>
    <row r="48" spans="1:39" x14ac:dyDescent="0.25">
      <c r="A48" s="3" t="s">
        <v>126</v>
      </c>
      <c r="B48" s="5">
        <f>287.33</f>
        <v>287.33</v>
      </c>
      <c r="C48" s="5">
        <f>1500</f>
        <v>1500</v>
      </c>
      <c r="D48" s="5">
        <f>58.53</f>
        <v>58.53</v>
      </c>
      <c r="E48" s="2"/>
      <c r="F48" s="5">
        <f t="shared" si="34"/>
        <v>345.86</v>
      </c>
      <c r="G48" s="5">
        <f t="shared" si="35"/>
        <v>1500</v>
      </c>
      <c r="H48" s="5">
        <f>907.26</f>
        <v>907.26</v>
      </c>
      <c r="I48" s="2"/>
      <c r="J48" s="2"/>
      <c r="K48" s="2"/>
      <c r="L48" s="2"/>
      <c r="M48" s="2"/>
      <c r="N48" s="5">
        <f>23.24</f>
        <v>23.24</v>
      </c>
      <c r="O48" s="2"/>
      <c r="P48" s="5">
        <f>38.07</f>
        <v>38.07</v>
      </c>
      <c r="Q48" s="2"/>
      <c r="R48" s="5">
        <f>259.45</f>
        <v>259.45</v>
      </c>
      <c r="S48" s="2"/>
      <c r="T48" s="5">
        <f t="shared" si="36"/>
        <v>320.76</v>
      </c>
      <c r="U48" s="5">
        <f t="shared" si="37"/>
        <v>0</v>
      </c>
      <c r="V48" s="5">
        <f>19.78</f>
        <v>19.78</v>
      </c>
      <c r="W48" s="2"/>
      <c r="X48" s="2"/>
      <c r="Y48" s="2"/>
      <c r="Z48" s="5">
        <f>253.84</f>
        <v>253.84</v>
      </c>
      <c r="AA48" s="2"/>
      <c r="AB48" s="5">
        <f t="shared" si="38"/>
        <v>253.84</v>
      </c>
      <c r="AC48" s="5">
        <f t="shared" si="39"/>
        <v>0</v>
      </c>
      <c r="AD48" s="5">
        <f>594.39</f>
        <v>594.39</v>
      </c>
      <c r="AE48" s="5">
        <f>445</f>
        <v>445</v>
      </c>
      <c r="AF48" s="5">
        <f>292.58</f>
        <v>292.58</v>
      </c>
      <c r="AG48" s="2"/>
      <c r="AH48" s="5">
        <f t="shared" si="40"/>
        <v>886.97</v>
      </c>
      <c r="AI48" s="5">
        <f t="shared" si="41"/>
        <v>445</v>
      </c>
      <c r="AJ48" s="5">
        <f t="shared" si="42"/>
        <v>1481.35</v>
      </c>
      <c r="AK48" s="5">
        <f t="shared" si="43"/>
        <v>445</v>
      </c>
      <c r="AL48" s="5">
        <f t="shared" si="44"/>
        <v>2734.47</v>
      </c>
      <c r="AM48" s="5">
        <f t="shared" si="45"/>
        <v>1945</v>
      </c>
    </row>
    <row r="49" spans="1:39" x14ac:dyDescent="0.25">
      <c r="A49" s="3" t="s">
        <v>127</v>
      </c>
      <c r="B49" s="5">
        <f>38.65</f>
        <v>38.65</v>
      </c>
      <c r="C49" s="5">
        <f>110.12</f>
        <v>110.12</v>
      </c>
      <c r="D49" s="5">
        <f>17.07</f>
        <v>17.07</v>
      </c>
      <c r="E49" s="5">
        <f>42.35</f>
        <v>42.35</v>
      </c>
      <c r="F49" s="5">
        <f t="shared" si="34"/>
        <v>55.72</v>
      </c>
      <c r="G49" s="5">
        <f t="shared" si="35"/>
        <v>152.47</v>
      </c>
      <c r="H49" s="5">
        <f>45.6</f>
        <v>45.6</v>
      </c>
      <c r="I49" s="5">
        <f>203.3</f>
        <v>203.3</v>
      </c>
      <c r="J49" s="2"/>
      <c r="K49" s="2"/>
      <c r="L49" s="2"/>
      <c r="M49" s="2"/>
      <c r="N49" s="5">
        <f>3.54</f>
        <v>3.54</v>
      </c>
      <c r="O49" s="5">
        <f>25.41</f>
        <v>25.41</v>
      </c>
      <c r="P49" s="5">
        <f>10.15</f>
        <v>10.15</v>
      </c>
      <c r="Q49" s="5">
        <f>25.41</f>
        <v>25.41</v>
      </c>
      <c r="R49" s="5">
        <f>79.02</f>
        <v>79.02</v>
      </c>
      <c r="S49" s="5">
        <f>203.3</f>
        <v>203.3</v>
      </c>
      <c r="T49" s="5">
        <f t="shared" si="36"/>
        <v>92.71</v>
      </c>
      <c r="U49" s="5">
        <f t="shared" si="37"/>
        <v>254.12</v>
      </c>
      <c r="V49" s="5">
        <f>4.08</f>
        <v>4.08</v>
      </c>
      <c r="W49" s="5">
        <f>33.88</f>
        <v>33.880000000000003</v>
      </c>
      <c r="X49" s="2"/>
      <c r="Y49" s="2"/>
      <c r="Z49" s="5">
        <f>67.67</f>
        <v>67.67</v>
      </c>
      <c r="AA49" s="5">
        <f>228.71</f>
        <v>228.71</v>
      </c>
      <c r="AB49" s="5">
        <f t="shared" si="38"/>
        <v>67.67</v>
      </c>
      <c r="AC49" s="5">
        <f t="shared" si="39"/>
        <v>228.71</v>
      </c>
      <c r="AD49" s="5">
        <f>155.81</f>
        <v>155.81</v>
      </c>
      <c r="AE49" s="5">
        <f>624.37</f>
        <v>624.37</v>
      </c>
      <c r="AF49" s="5">
        <f>73.57</f>
        <v>73.569999999999993</v>
      </c>
      <c r="AG49" s="5">
        <f>177.89</f>
        <v>177.89</v>
      </c>
      <c r="AH49" s="5">
        <f t="shared" si="40"/>
        <v>229.38</v>
      </c>
      <c r="AI49" s="5">
        <f t="shared" si="41"/>
        <v>802.26</v>
      </c>
      <c r="AJ49" s="5">
        <f t="shared" si="42"/>
        <v>393.84</v>
      </c>
      <c r="AK49" s="5">
        <f t="shared" si="43"/>
        <v>1318.97</v>
      </c>
      <c r="AL49" s="5">
        <f t="shared" si="44"/>
        <v>495.15999999999997</v>
      </c>
      <c r="AM49" s="5">
        <f t="shared" si="45"/>
        <v>1674.74</v>
      </c>
    </row>
    <row r="50" spans="1:39" x14ac:dyDescent="0.25">
      <c r="A50" s="3" t="s">
        <v>128</v>
      </c>
      <c r="B50" s="5">
        <f>28.05</f>
        <v>28.05</v>
      </c>
      <c r="C50" s="5">
        <f>51.51</f>
        <v>51.51</v>
      </c>
      <c r="D50" s="5">
        <f>9.11</f>
        <v>9.11</v>
      </c>
      <c r="E50" s="5">
        <f>19.81</f>
        <v>19.809999999999999</v>
      </c>
      <c r="F50" s="5">
        <f t="shared" si="34"/>
        <v>37.159999999999997</v>
      </c>
      <c r="G50" s="5">
        <f t="shared" si="35"/>
        <v>71.319999999999993</v>
      </c>
      <c r="H50" s="5">
        <f>32.81</f>
        <v>32.81</v>
      </c>
      <c r="I50" s="5">
        <f>2495.1</f>
        <v>2495.1</v>
      </c>
      <c r="J50" s="2"/>
      <c r="K50" s="2"/>
      <c r="L50" s="2"/>
      <c r="M50" s="2"/>
      <c r="N50" s="5">
        <f>2.84</f>
        <v>2.84</v>
      </c>
      <c r="O50" s="5">
        <f>11.89</f>
        <v>11.89</v>
      </c>
      <c r="P50" s="5">
        <f>5.85</f>
        <v>5.85</v>
      </c>
      <c r="Q50" s="5">
        <f>11.89</f>
        <v>11.89</v>
      </c>
      <c r="R50" s="5">
        <f>38.9</f>
        <v>38.9</v>
      </c>
      <c r="S50" s="5">
        <f>95.1</f>
        <v>95.1</v>
      </c>
      <c r="T50" s="5">
        <f t="shared" si="36"/>
        <v>47.589999999999996</v>
      </c>
      <c r="U50" s="5">
        <f t="shared" si="37"/>
        <v>118.88</v>
      </c>
      <c r="V50" s="5">
        <f>3.28</f>
        <v>3.28</v>
      </c>
      <c r="W50" s="5">
        <f>15.85</f>
        <v>15.85</v>
      </c>
      <c r="X50" s="2"/>
      <c r="Y50" s="2"/>
      <c r="Z50" s="5">
        <f>39.01</f>
        <v>39.01</v>
      </c>
      <c r="AA50" s="5">
        <f>106.99</f>
        <v>106.99</v>
      </c>
      <c r="AB50" s="5">
        <f t="shared" si="38"/>
        <v>39.01</v>
      </c>
      <c r="AC50" s="5">
        <f t="shared" si="39"/>
        <v>106.99</v>
      </c>
      <c r="AD50" s="5">
        <f>129.51</f>
        <v>129.51</v>
      </c>
      <c r="AE50" s="5">
        <f>386.91</f>
        <v>386.91</v>
      </c>
      <c r="AF50" s="5">
        <f>43.74</f>
        <v>43.74</v>
      </c>
      <c r="AG50" s="5">
        <f>83.22</f>
        <v>83.22</v>
      </c>
      <c r="AH50" s="5">
        <f t="shared" si="40"/>
        <v>173.25</v>
      </c>
      <c r="AI50" s="5">
        <f t="shared" si="41"/>
        <v>470.13</v>
      </c>
      <c r="AJ50" s="5">
        <f t="shared" si="42"/>
        <v>263.13</v>
      </c>
      <c r="AK50" s="5">
        <f t="shared" si="43"/>
        <v>711.84999999999991</v>
      </c>
      <c r="AL50" s="5">
        <f t="shared" si="44"/>
        <v>333.1</v>
      </c>
      <c r="AM50" s="5">
        <f t="shared" si="45"/>
        <v>3278.27</v>
      </c>
    </row>
    <row r="51" spans="1:39" x14ac:dyDescent="0.25">
      <c r="A51" s="3" t="s">
        <v>148</v>
      </c>
      <c r="B51" s="5">
        <f>11.01</f>
        <v>11.01</v>
      </c>
      <c r="C51" s="2"/>
      <c r="D51" s="5">
        <f>6.16</f>
        <v>6.16</v>
      </c>
      <c r="E51" s="2"/>
      <c r="F51" s="5">
        <f t="shared" si="34"/>
        <v>17.170000000000002</v>
      </c>
      <c r="G51" s="5">
        <f t="shared" si="35"/>
        <v>0</v>
      </c>
      <c r="H51" s="5">
        <f>16.45</f>
        <v>16.45</v>
      </c>
      <c r="I51" s="2"/>
      <c r="J51" s="2"/>
      <c r="K51" s="2"/>
      <c r="L51" s="2"/>
      <c r="M51" s="2"/>
      <c r="N51" s="5">
        <f>1.28</f>
        <v>1.28</v>
      </c>
      <c r="O51" s="2"/>
      <c r="P51" s="5">
        <f>3.67</f>
        <v>3.67</v>
      </c>
      <c r="Q51" s="2"/>
      <c r="R51" s="5">
        <f>23.65</f>
        <v>23.65</v>
      </c>
      <c r="S51" s="2"/>
      <c r="T51" s="5">
        <f t="shared" si="36"/>
        <v>28.599999999999998</v>
      </c>
      <c r="U51" s="5">
        <f t="shared" si="37"/>
        <v>0</v>
      </c>
      <c r="V51" s="5">
        <f>1.48</f>
        <v>1.48</v>
      </c>
      <c r="W51" s="2"/>
      <c r="X51" s="2"/>
      <c r="Y51" s="2"/>
      <c r="Z51" s="5">
        <f>24.38</f>
        <v>24.38</v>
      </c>
      <c r="AA51" s="2"/>
      <c r="AB51" s="5">
        <f t="shared" si="38"/>
        <v>24.38</v>
      </c>
      <c r="AC51" s="5">
        <f t="shared" si="39"/>
        <v>0</v>
      </c>
      <c r="AD51" s="5">
        <f>56.15</f>
        <v>56.15</v>
      </c>
      <c r="AE51" s="2"/>
      <c r="AF51" s="5">
        <f>26.51</f>
        <v>26.51</v>
      </c>
      <c r="AG51" s="2"/>
      <c r="AH51" s="5">
        <f t="shared" si="40"/>
        <v>82.66</v>
      </c>
      <c r="AI51" s="5">
        <f t="shared" si="41"/>
        <v>0</v>
      </c>
      <c r="AJ51" s="5">
        <f t="shared" si="42"/>
        <v>137.12</v>
      </c>
      <c r="AK51" s="5">
        <f t="shared" si="43"/>
        <v>0</v>
      </c>
      <c r="AL51" s="5">
        <f t="shared" si="44"/>
        <v>170.74</v>
      </c>
      <c r="AM51" s="5">
        <f t="shared" si="45"/>
        <v>0</v>
      </c>
    </row>
    <row r="52" spans="1:39" x14ac:dyDescent="0.25">
      <c r="A52" s="3" t="s">
        <v>154</v>
      </c>
      <c r="B52" s="5">
        <f>25.61</f>
        <v>25.61</v>
      </c>
      <c r="C52" s="2"/>
      <c r="D52" s="5">
        <f>14.24</f>
        <v>14.24</v>
      </c>
      <c r="E52" s="2"/>
      <c r="F52" s="5">
        <f t="shared" si="34"/>
        <v>39.85</v>
      </c>
      <c r="G52" s="5">
        <f t="shared" si="35"/>
        <v>0</v>
      </c>
      <c r="H52" s="5">
        <f>38.02</f>
        <v>38.020000000000003</v>
      </c>
      <c r="I52" s="2"/>
      <c r="J52" s="2"/>
      <c r="K52" s="2"/>
      <c r="L52" s="2"/>
      <c r="M52" s="2"/>
      <c r="N52" s="5">
        <f>3.03</f>
        <v>3.03</v>
      </c>
      <c r="O52" s="2"/>
      <c r="P52" s="5">
        <f>8.46</f>
        <v>8.4600000000000009</v>
      </c>
      <c r="Q52" s="2"/>
      <c r="R52" s="5">
        <f>54.84</f>
        <v>54.84</v>
      </c>
      <c r="S52" s="2"/>
      <c r="T52" s="5">
        <f t="shared" si="36"/>
        <v>66.33</v>
      </c>
      <c r="U52" s="5">
        <f t="shared" si="37"/>
        <v>0</v>
      </c>
      <c r="V52" s="5">
        <f>3.36</f>
        <v>3.36</v>
      </c>
      <c r="W52" s="2"/>
      <c r="X52" s="2"/>
      <c r="Y52" s="2"/>
      <c r="Z52" s="5">
        <f>56.44</f>
        <v>56.44</v>
      </c>
      <c r="AA52" s="2"/>
      <c r="AB52" s="5">
        <f t="shared" si="38"/>
        <v>56.44</v>
      </c>
      <c r="AC52" s="5">
        <f t="shared" si="39"/>
        <v>0</v>
      </c>
      <c r="AD52" s="5">
        <f>130.03</f>
        <v>130.03</v>
      </c>
      <c r="AE52" s="2"/>
      <c r="AF52" s="5">
        <f>61.5</f>
        <v>61.5</v>
      </c>
      <c r="AG52" s="2"/>
      <c r="AH52" s="5">
        <f t="shared" si="40"/>
        <v>191.53</v>
      </c>
      <c r="AI52" s="5">
        <f t="shared" si="41"/>
        <v>0</v>
      </c>
      <c r="AJ52" s="5">
        <f t="shared" si="42"/>
        <v>317.65999999999997</v>
      </c>
      <c r="AK52" s="5">
        <f t="shared" si="43"/>
        <v>0</v>
      </c>
      <c r="AL52" s="5">
        <f t="shared" si="44"/>
        <v>395.53</v>
      </c>
      <c r="AM52" s="5">
        <f t="shared" si="45"/>
        <v>0</v>
      </c>
    </row>
    <row r="53" spans="1:39" x14ac:dyDescent="0.25">
      <c r="A53" s="3" t="s">
        <v>129</v>
      </c>
      <c r="B53" s="5">
        <f>475.91</f>
        <v>475.91</v>
      </c>
      <c r="C53" s="5">
        <f>1088.36</f>
        <v>1088.3599999999999</v>
      </c>
      <c r="D53" s="5">
        <f>121.65</f>
        <v>121.65</v>
      </c>
      <c r="E53" s="5">
        <f>263.13</f>
        <v>263.13</v>
      </c>
      <c r="F53" s="5">
        <f t="shared" si="34"/>
        <v>597.56000000000006</v>
      </c>
      <c r="G53" s="5">
        <f t="shared" si="35"/>
        <v>1351.4899999999998</v>
      </c>
      <c r="H53" s="5">
        <f>405.76</f>
        <v>405.76</v>
      </c>
      <c r="I53" s="5">
        <f>1250.64</f>
        <v>1250.6400000000001</v>
      </c>
      <c r="J53" s="2"/>
      <c r="K53" s="2"/>
      <c r="L53" s="2"/>
      <c r="M53" s="2"/>
      <c r="N53" s="5">
        <f>20.64</f>
        <v>20.64</v>
      </c>
      <c r="O53" s="5">
        <f>176.08</f>
        <v>176.08</v>
      </c>
      <c r="P53" s="5">
        <f>91.47</f>
        <v>91.47</v>
      </c>
      <c r="Q53" s="5">
        <f>151.08</f>
        <v>151.08000000000001</v>
      </c>
      <c r="R53" s="5">
        <f>515.74</f>
        <v>515.74</v>
      </c>
      <c r="S53" s="5">
        <f>1139.64</f>
        <v>1139.6400000000001</v>
      </c>
      <c r="T53" s="5">
        <f t="shared" si="36"/>
        <v>627.85</v>
      </c>
      <c r="U53" s="5">
        <f t="shared" si="37"/>
        <v>1466.8000000000002</v>
      </c>
      <c r="V53" s="5">
        <f>28.64</f>
        <v>28.64</v>
      </c>
      <c r="W53" s="5">
        <f>210.11</f>
        <v>210.11</v>
      </c>
      <c r="X53" s="2"/>
      <c r="Y53" s="2"/>
      <c r="Z53" s="5">
        <f>526.82</f>
        <v>526.82000000000005</v>
      </c>
      <c r="AA53" s="5">
        <f>1279.72</f>
        <v>1279.72</v>
      </c>
      <c r="AB53" s="5">
        <f t="shared" si="38"/>
        <v>526.82000000000005</v>
      </c>
      <c r="AC53" s="5">
        <f t="shared" si="39"/>
        <v>1279.72</v>
      </c>
      <c r="AD53" s="5">
        <f>1066.61</f>
        <v>1066.6099999999999</v>
      </c>
      <c r="AE53" s="5">
        <f>2464.5</f>
        <v>2464.5</v>
      </c>
      <c r="AF53" s="5">
        <f>477.25</f>
        <v>477.25</v>
      </c>
      <c r="AG53" s="5">
        <f>1212.56</f>
        <v>1212.56</v>
      </c>
      <c r="AH53" s="5">
        <f t="shared" si="40"/>
        <v>1543.86</v>
      </c>
      <c r="AI53" s="5">
        <f t="shared" si="41"/>
        <v>3677.06</v>
      </c>
      <c r="AJ53" s="5">
        <f t="shared" si="42"/>
        <v>2727.17</v>
      </c>
      <c r="AK53" s="5">
        <f t="shared" si="43"/>
        <v>6633.6900000000005</v>
      </c>
      <c r="AL53" s="5">
        <f t="shared" si="44"/>
        <v>3730.4900000000002</v>
      </c>
      <c r="AM53" s="5">
        <f t="shared" si="45"/>
        <v>9235.82</v>
      </c>
    </row>
    <row r="54" spans="1:39" x14ac:dyDescent="0.25">
      <c r="A54" s="3" t="s">
        <v>130</v>
      </c>
      <c r="B54" s="2"/>
      <c r="C54" s="5">
        <f>158.63</f>
        <v>158.63</v>
      </c>
      <c r="D54" s="2"/>
      <c r="E54" s="5">
        <f>61.01</f>
        <v>61.01</v>
      </c>
      <c r="F54" s="5">
        <f t="shared" si="34"/>
        <v>0</v>
      </c>
      <c r="G54" s="5">
        <f t="shared" si="35"/>
        <v>219.64</v>
      </c>
      <c r="H54" s="2"/>
      <c r="I54" s="5">
        <f>292.86</f>
        <v>292.86</v>
      </c>
      <c r="J54" s="2"/>
      <c r="K54" s="2"/>
      <c r="L54" s="2"/>
      <c r="M54" s="2"/>
      <c r="N54" s="2"/>
      <c r="O54" s="5">
        <f>36.61</f>
        <v>36.61</v>
      </c>
      <c r="P54" s="2"/>
      <c r="Q54" s="5">
        <f>36.61</f>
        <v>36.61</v>
      </c>
      <c r="R54" s="2"/>
      <c r="S54" s="5">
        <f>292.86</f>
        <v>292.86</v>
      </c>
      <c r="T54" s="5">
        <f t="shared" si="36"/>
        <v>0</v>
      </c>
      <c r="U54" s="5">
        <f t="shared" si="37"/>
        <v>366.08000000000004</v>
      </c>
      <c r="V54" s="2"/>
      <c r="W54" s="5">
        <f>18048.81</f>
        <v>18048.810000000001</v>
      </c>
      <c r="X54" s="2"/>
      <c r="Y54" s="2"/>
      <c r="Z54" s="2"/>
      <c r="AA54" s="5">
        <f>329.47</f>
        <v>329.47</v>
      </c>
      <c r="AB54" s="5">
        <f t="shared" si="38"/>
        <v>0</v>
      </c>
      <c r="AC54" s="5">
        <f t="shared" si="39"/>
        <v>329.47</v>
      </c>
      <c r="AD54" s="2"/>
      <c r="AE54" s="5">
        <f>683.35</f>
        <v>683.35</v>
      </c>
      <c r="AF54" s="2"/>
      <c r="AG54" s="5">
        <f>256.26</f>
        <v>256.26</v>
      </c>
      <c r="AH54" s="5">
        <f t="shared" si="40"/>
        <v>0</v>
      </c>
      <c r="AI54" s="5">
        <f t="shared" si="41"/>
        <v>939.61</v>
      </c>
      <c r="AJ54" s="5">
        <f t="shared" si="42"/>
        <v>0</v>
      </c>
      <c r="AK54" s="5">
        <f t="shared" si="43"/>
        <v>19683.970000000005</v>
      </c>
      <c r="AL54" s="5">
        <f t="shared" si="44"/>
        <v>0</v>
      </c>
      <c r="AM54" s="5">
        <f t="shared" si="45"/>
        <v>20196.470000000005</v>
      </c>
    </row>
    <row r="55" spans="1:39" x14ac:dyDescent="0.25">
      <c r="A55" s="3" t="s">
        <v>131</v>
      </c>
      <c r="B55" s="2"/>
      <c r="C55" s="5">
        <f>28.1</f>
        <v>28.1</v>
      </c>
      <c r="D55" s="2"/>
      <c r="E55" s="5">
        <f>10.81</f>
        <v>10.81</v>
      </c>
      <c r="F55" s="5">
        <f t="shared" si="34"/>
        <v>0</v>
      </c>
      <c r="G55" s="5">
        <f t="shared" si="35"/>
        <v>38.910000000000004</v>
      </c>
      <c r="H55" s="2"/>
      <c r="I55" s="5">
        <f>6201.87</f>
        <v>6201.87</v>
      </c>
      <c r="J55" s="2"/>
      <c r="K55" s="2"/>
      <c r="L55" s="2"/>
      <c r="M55" s="2"/>
      <c r="N55" s="2"/>
      <c r="O55" s="5">
        <f>6.48</f>
        <v>6.48</v>
      </c>
      <c r="P55" s="2"/>
      <c r="Q55" s="5">
        <f>6.48</f>
        <v>6.48</v>
      </c>
      <c r="R55" s="2"/>
      <c r="S55" s="5">
        <f>51.87</f>
        <v>51.87</v>
      </c>
      <c r="T55" s="5">
        <f t="shared" si="36"/>
        <v>0</v>
      </c>
      <c r="U55" s="5">
        <f t="shared" si="37"/>
        <v>64.83</v>
      </c>
      <c r="V55" s="2"/>
      <c r="W55" s="5">
        <f>2008.65</f>
        <v>2008.65</v>
      </c>
      <c r="X55" s="2"/>
      <c r="Y55" s="2"/>
      <c r="Z55" s="2"/>
      <c r="AA55" s="5">
        <f>58.36</f>
        <v>58.36</v>
      </c>
      <c r="AB55" s="5">
        <f t="shared" si="38"/>
        <v>0</v>
      </c>
      <c r="AC55" s="5">
        <f t="shared" si="39"/>
        <v>58.36</v>
      </c>
      <c r="AD55" s="2"/>
      <c r="AE55" s="5">
        <f>841.04</f>
        <v>841.04</v>
      </c>
      <c r="AF55" s="2"/>
      <c r="AG55" s="5">
        <f>45.39</f>
        <v>45.39</v>
      </c>
      <c r="AH55" s="5">
        <f t="shared" si="40"/>
        <v>0</v>
      </c>
      <c r="AI55" s="5">
        <f t="shared" si="41"/>
        <v>886.43</v>
      </c>
      <c r="AJ55" s="5">
        <f t="shared" si="42"/>
        <v>0</v>
      </c>
      <c r="AK55" s="5">
        <f t="shared" si="43"/>
        <v>3018.27</v>
      </c>
      <c r="AL55" s="5">
        <f t="shared" si="44"/>
        <v>0</v>
      </c>
      <c r="AM55" s="5">
        <f t="shared" si="45"/>
        <v>9259.0499999999993</v>
      </c>
    </row>
    <row r="56" spans="1:39" x14ac:dyDescent="0.25">
      <c r="A56" s="3" t="s">
        <v>132</v>
      </c>
      <c r="B56" s="5">
        <f>465.04</f>
        <v>465.04</v>
      </c>
      <c r="C56" s="2"/>
      <c r="D56" s="2"/>
      <c r="E56" s="2"/>
      <c r="F56" s="5">
        <f t="shared" si="34"/>
        <v>465.04</v>
      </c>
      <c r="G56" s="5">
        <f t="shared" si="35"/>
        <v>0</v>
      </c>
      <c r="H56" s="2"/>
      <c r="I56" s="5">
        <f>400</f>
        <v>400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5">
        <f t="shared" si="36"/>
        <v>0</v>
      </c>
      <c r="U56" s="5">
        <f t="shared" si="37"/>
        <v>0</v>
      </c>
      <c r="V56" s="2"/>
      <c r="W56" s="5">
        <f>88000</f>
        <v>88000</v>
      </c>
      <c r="X56" s="2"/>
      <c r="Y56" s="2"/>
      <c r="Z56" s="2"/>
      <c r="AA56" s="2"/>
      <c r="AB56" s="5">
        <f t="shared" si="38"/>
        <v>0</v>
      </c>
      <c r="AC56" s="5">
        <f t="shared" si="39"/>
        <v>0</v>
      </c>
      <c r="AD56" s="5">
        <f>566.89</f>
        <v>566.89</v>
      </c>
      <c r="AE56" s="5">
        <f>12000</f>
        <v>12000</v>
      </c>
      <c r="AF56" s="2"/>
      <c r="AG56" s="2"/>
      <c r="AH56" s="5">
        <f t="shared" si="40"/>
        <v>566.89</v>
      </c>
      <c r="AI56" s="5">
        <f t="shared" si="41"/>
        <v>12000</v>
      </c>
      <c r="AJ56" s="5">
        <f t="shared" si="42"/>
        <v>566.89</v>
      </c>
      <c r="AK56" s="5">
        <f t="shared" si="43"/>
        <v>100000</v>
      </c>
      <c r="AL56" s="5">
        <f t="shared" si="44"/>
        <v>1031.93</v>
      </c>
      <c r="AM56" s="5">
        <f t="shared" si="45"/>
        <v>100400</v>
      </c>
    </row>
    <row r="57" spans="1:39" x14ac:dyDescent="0.25">
      <c r="A57" s="3" t="s">
        <v>133</v>
      </c>
      <c r="B57" s="2"/>
      <c r="C57" s="2"/>
      <c r="D57" s="2"/>
      <c r="E57" s="2"/>
      <c r="F57" s="5">
        <f t="shared" si="34"/>
        <v>0</v>
      </c>
      <c r="G57" s="5">
        <f t="shared" si="35"/>
        <v>0</v>
      </c>
      <c r="H57" s="2"/>
      <c r="I57" s="5">
        <f>950</f>
        <v>950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5">
        <f t="shared" si="36"/>
        <v>0</v>
      </c>
      <c r="U57" s="5">
        <f t="shared" si="37"/>
        <v>0</v>
      </c>
      <c r="V57" s="2"/>
      <c r="W57" s="5">
        <f>2000</f>
        <v>2000</v>
      </c>
      <c r="X57" s="2"/>
      <c r="Y57" s="2"/>
      <c r="Z57" s="2"/>
      <c r="AA57" s="2"/>
      <c r="AB57" s="5">
        <f t="shared" si="38"/>
        <v>0</v>
      </c>
      <c r="AC57" s="5">
        <f t="shared" si="39"/>
        <v>0</v>
      </c>
      <c r="AD57" s="2"/>
      <c r="AE57" s="2"/>
      <c r="AF57" s="2"/>
      <c r="AG57" s="2"/>
      <c r="AH57" s="5">
        <f t="shared" si="40"/>
        <v>0</v>
      </c>
      <c r="AI57" s="5">
        <f t="shared" si="41"/>
        <v>0</v>
      </c>
      <c r="AJ57" s="5">
        <f t="shared" si="42"/>
        <v>0</v>
      </c>
      <c r="AK57" s="5">
        <f t="shared" si="43"/>
        <v>2000</v>
      </c>
      <c r="AL57" s="5">
        <f t="shared" si="44"/>
        <v>0</v>
      </c>
      <c r="AM57" s="5">
        <f t="shared" si="45"/>
        <v>2950</v>
      </c>
    </row>
    <row r="58" spans="1:39" x14ac:dyDescent="0.25">
      <c r="A58" s="3" t="s">
        <v>134</v>
      </c>
      <c r="B58" s="4">
        <v>42.59</v>
      </c>
      <c r="C58" s="4">
        <v>6766.56</v>
      </c>
      <c r="D58" s="4">
        <v>604.74</v>
      </c>
      <c r="E58" s="4">
        <v>2286.06</v>
      </c>
      <c r="F58" s="4">
        <v>647.33000000000004</v>
      </c>
      <c r="G58" s="4">
        <v>9052.6200000000008</v>
      </c>
      <c r="H58" s="4">
        <v>66.5</v>
      </c>
      <c r="I58" s="4">
        <v>283.49</v>
      </c>
      <c r="J58" s="4">
        <v>0</v>
      </c>
      <c r="K58" s="4">
        <v>0</v>
      </c>
      <c r="L58" s="4">
        <v>0</v>
      </c>
      <c r="M58" s="4">
        <v>0</v>
      </c>
      <c r="N58" s="4">
        <v>4.6100000000000003</v>
      </c>
      <c r="O58" s="4">
        <v>35.44</v>
      </c>
      <c r="P58" s="4">
        <v>14.77</v>
      </c>
      <c r="Q58" s="4">
        <v>35.44</v>
      </c>
      <c r="R58" s="4">
        <v>94.75</v>
      </c>
      <c r="S58" s="4">
        <v>283.49</v>
      </c>
      <c r="T58" s="4">
        <v>114.13</v>
      </c>
      <c r="U58" s="4">
        <v>354.37</v>
      </c>
      <c r="V58" s="4">
        <v>6.22</v>
      </c>
      <c r="W58" s="4">
        <v>797.25</v>
      </c>
      <c r="X58" s="4">
        <v>0</v>
      </c>
      <c r="Y58" s="4">
        <v>0</v>
      </c>
      <c r="Z58" s="4">
        <v>98.44</v>
      </c>
      <c r="AA58" s="4">
        <v>318.93</v>
      </c>
      <c r="AB58" s="4">
        <v>98.44</v>
      </c>
      <c r="AC58" s="4">
        <v>318.93</v>
      </c>
      <c r="AD58" s="4">
        <v>227.07</v>
      </c>
      <c r="AE58" s="4">
        <v>661.48</v>
      </c>
      <c r="AF58" s="4">
        <v>106.55000000000001</v>
      </c>
      <c r="AG58" s="4">
        <v>248.05</v>
      </c>
      <c r="AH58" s="4">
        <v>333.62</v>
      </c>
      <c r="AI58" s="4">
        <v>909.53</v>
      </c>
      <c r="AJ58" s="4">
        <v>552.41</v>
      </c>
      <c r="AK58" s="4">
        <v>2380.08</v>
      </c>
      <c r="AL58" s="4">
        <v>1266.24</v>
      </c>
      <c r="AM58" s="4">
        <v>11716.19</v>
      </c>
    </row>
    <row r="59" spans="1:39" x14ac:dyDescent="0.25">
      <c r="A59" s="3" t="s">
        <v>135</v>
      </c>
      <c r="B59" s="5">
        <f>2864</f>
        <v>2864</v>
      </c>
      <c r="C59" s="5">
        <f>4983</f>
        <v>4983</v>
      </c>
      <c r="D59" s="2"/>
      <c r="E59" s="2"/>
      <c r="F59" s="5">
        <f t="shared" ref="F59:G65" si="46">(B59)+(D59)</f>
        <v>2864</v>
      </c>
      <c r="G59" s="5">
        <f t="shared" si="46"/>
        <v>4983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5">
        <f t="shared" ref="T59:U65" si="47">(((L59)+(N59))+(P59))+(R59)</f>
        <v>0</v>
      </c>
      <c r="U59" s="5">
        <f t="shared" si="47"/>
        <v>0</v>
      </c>
      <c r="V59" s="2"/>
      <c r="W59" s="2"/>
      <c r="X59" s="2"/>
      <c r="Y59" s="2"/>
      <c r="Z59" s="2"/>
      <c r="AA59" s="2"/>
      <c r="AB59" s="5">
        <f t="shared" ref="AB59:AC65" si="48">(X59)+(Z59)</f>
        <v>0</v>
      </c>
      <c r="AC59" s="5">
        <f t="shared" si="48"/>
        <v>0</v>
      </c>
      <c r="AD59" s="2"/>
      <c r="AE59" s="2"/>
      <c r="AF59" s="2"/>
      <c r="AG59" s="2"/>
      <c r="AH59" s="5">
        <f t="shared" ref="AH59:AI65" si="49">(AD59)+(AF59)</f>
        <v>0</v>
      </c>
      <c r="AI59" s="5">
        <f t="shared" si="49"/>
        <v>0</v>
      </c>
      <c r="AJ59" s="5">
        <f t="shared" ref="AJ59:AK65" si="50">((((J59)+(T59))+(V59))+(AB59))+(AH59)</f>
        <v>0</v>
      </c>
      <c r="AK59" s="5">
        <f t="shared" si="50"/>
        <v>0</v>
      </c>
      <c r="AL59" s="5">
        <f t="shared" ref="AL59:AM65" si="51">((F59)+(H59))+(AJ59)</f>
        <v>2864</v>
      </c>
      <c r="AM59" s="5">
        <f t="shared" si="51"/>
        <v>4983</v>
      </c>
    </row>
    <row r="60" spans="1:39" x14ac:dyDescent="0.25">
      <c r="A60" s="3" t="s">
        <v>136</v>
      </c>
      <c r="B60" s="5">
        <f>195.96</f>
        <v>195.96</v>
      </c>
      <c r="C60" s="5">
        <f>347.87</f>
        <v>347.87</v>
      </c>
      <c r="D60" s="5">
        <f>93.91</f>
        <v>93.91</v>
      </c>
      <c r="E60" s="5">
        <f>155.76</f>
        <v>155.76</v>
      </c>
      <c r="F60" s="5">
        <f t="shared" si="46"/>
        <v>289.87</v>
      </c>
      <c r="G60" s="5">
        <f t="shared" si="46"/>
        <v>503.63</v>
      </c>
      <c r="H60" s="5">
        <f>1306.81</f>
        <v>1306.81</v>
      </c>
      <c r="I60" s="5">
        <f>6910.44</f>
        <v>6910.44</v>
      </c>
      <c r="J60" s="2"/>
      <c r="K60" s="2"/>
      <c r="L60" s="2"/>
      <c r="M60" s="2"/>
      <c r="N60" s="5">
        <f>4.72</f>
        <v>4.72</v>
      </c>
      <c r="O60" s="5">
        <f>118.62</f>
        <v>118.62</v>
      </c>
      <c r="P60" s="5">
        <f>12.7</f>
        <v>12.7</v>
      </c>
      <c r="Q60" s="5">
        <f>225.35</f>
        <v>225.35</v>
      </c>
      <c r="R60" s="5">
        <f>74.56</f>
        <v>74.56</v>
      </c>
      <c r="S60" s="5">
        <f>657.38</f>
        <v>657.38</v>
      </c>
      <c r="T60" s="5">
        <f t="shared" si="47"/>
        <v>91.98</v>
      </c>
      <c r="U60" s="5">
        <f t="shared" si="47"/>
        <v>1001.35</v>
      </c>
      <c r="V60" s="5">
        <f>11.53</f>
        <v>11.53</v>
      </c>
      <c r="W60" s="5">
        <f>114.89</f>
        <v>114.89</v>
      </c>
      <c r="X60" s="2"/>
      <c r="Y60" s="2"/>
      <c r="Z60" s="5">
        <f>2586.24</f>
        <v>2586.2399999999998</v>
      </c>
      <c r="AA60" s="5">
        <f>3089.08</f>
        <v>3089.08</v>
      </c>
      <c r="AB60" s="5">
        <f t="shared" si="48"/>
        <v>2586.2399999999998</v>
      </c>
      <c r="AC60" s="5">
        <f t="shared" si="48"/>
        <v>3089.08</v>
      </c>
      <c r="AD60" s="5">
        <f>1101.65</f>
        <v>1101.6500000000001</v>
      </c>
      <c r="AE60" s="5">
        <f>11496.08</f>
        <v>11496.08</v>
      </c>
      <c r="AF60" s="5">
        <f>56.99</f>
        <v>56.99</v>
      </c>
      <c r="AG60" s="5">
        <f>559.92</f>
        <v>559.91999999999996</v>
      </c>
      <c r="AH60" s="5">
        <f t="shared" si="49"/>
        <v>1158.6400000000001</v>
      </c>
      <c r="AI60" s="5">
        <f t="shared" si="49"/>
        <v>12056</v>
      </c>
      <c r="AJ60" s="5">
        <f t="shared" si="50"/>
        <v>3848.3900000000003</v>
      </c>
      <c r="AK60" s="5">
        <f t="shared" si="50"/>
        <v>16261.32</v>
      </c>
      <c r="AL60" s="5">
        <f t="shared" si="51"/>
        <v>5445.07</v>
      </c>
      <c r="AM60" s="5">
        <f t="shared" si="51"/>
        <v>23675.39</v>
      </c>
    </row>
    <row r="61" spans="1:39" x14ac:dyDescent="0.25">
      <c r="A61" s="3" t="s">
        <v>137</v>
      </c>
      <c r="B61" s="5">
        <f>293.06</f>
        <v>293.06</v>
      </c>
      <c r="C61" s="2"/>
      <c r="D61" s="5">
        <f>13.61</f>
        <v>13.61</v>
      </c>
      <c r="E61" s="2"/>
      <c r="F61" s="5">
        <f t="shared" si="46"/>
        <v>306.67</v>
      </c>
      <c r="G61" s="5">
        <f t="shared" si="46"/>
        <v>0</v>
      </c>
      <c r="H61" s="5">
        <f>1596.36</f>
        <v>1596.36</v>
      </c>
      <c r="I61" s="2"/>
      <c r="J61" s="2"/>
      <c r="K61" s="2"/>
      <c r="L61" s="2"/>
      <c r="M61" s="2"/>
      <c r="N61" s="5">
        <f>2.52</f>
        <v>2.52</v>
      </c>
      <c r="O61" s="2"/>
      <c r="P61" s="5">
        <f>8.07</f>
        <v>8.07</v>
      </c>
      <c r="Q61" s="2"/>
      <c r="R61" s="5">
        <f>51.81</f>
        <v>51.81</v>
      </c>
      <c r="S61" s="2"/>
      <c r="T61" s="5">
        <f t="shared" si="47"/>
        <v>62.400000000000006</v>
      </c>
      <c r="U61" s="5">
        <f t="shared" si="47"/>
        <v>0</v>
      </c>
      <c r="V61" s="5">
        <f>3.4</f>
        <v>3.4</v>
      </c>
      <c r="W61" s="2"/>
      <c r="X61" s="2"/>
      <c r="Y61" s="2"/>
      <c r="Z61" s="5">
        <f>54.07</f>
        <v>54.07</v>
      </c>
      <c r="AA61" s="2"/>
      <c r="AB61" s="5">
        <f t="shared" si="48"/>
        <v>54.07</v>
      </c>
      <c r="AC61" s="5">
        <f t="shared" si="48"/>
        <v>0</v>
      </c>
      <c r="AD61" s="5">
        <f>685.17</f>
        <v>685.17</v>
      </c>
      <c r="AE61" s="2"/>
      <c r="AF61" s="5">
        <f>58.27</f>
        <v>58.27</v>
      </c>
      <c r="AG61" s="2"/>
      <c r="AH61" s="5">
        <f t="shared" si="49"/>
        <v>743.43999999999994</v>
      </c>
      <c r="AI61" s="5">
        <f t="shared" si="49"/>
        <v>0</v>
      </c>
      <c r="AJ61" s="5">
        <f t="shared" si="50"/>
        <v>863.31</v>
      </c>
      <c r="AK61" s="5">
        <f t="shared" si="50"/>
        <v>0</v>
      </c>
      <c r="AL61" s="5">
        <f t="shared" si="51"/>
        <v>2766.34</v>
      </c>
      <c r="AM61" s="5">
        <f t="shared" si="51"/>
        <v>0</v>
      </c>
    </row>
    <row r="62" spans="1:39" x14ac:dyDescent="0.25">
      <c r="A62" s="3" t="s">
        <v>138</v>
      </c>
      <c r="B62" s="5">
        <f>37.5</f>
        <v>37.5</v>
      </c>
      <c r="C62" s="5">
        <f>40.13</f>
        <v>40.130000000000003</v>
      </c>
      <c r="D62" s="2"/>
      <c r="E62" s="5">
        <f>15.44</f>
        <v>15.44</v>
      </c>
      <c r="F62" s="5">
        <f t="shared" si="46"/>
        <v>37.5</v>
      </c>
      <c r="G62" s="5">
        <f t="shared" si="46"/>
        <v>55.57</v>
      </c>
      <c r="H62" s="5">
        <f>4500</f>
        <v>4500</v>
      </c>
      <c r="I62" s="5">
        <f>1074.09</f>
        <v>1074.0899999999999</v>
      </c>
      <c r="J62" s="2"/>
      <c r="K62" s="2"/>
      <c r="L62" s="2"/>
      <c r="M62" s="2"/>
      <c r="N62" s="2"/>
      <c r="O62" s="5">
        <f>9.26</f>
        <v>9.26</v>
      </c>
      <c r="P62" s="2"/>
      <c r="Q62" s="5">
        <f>9.26</f>
        <v>9.26</v>
      </c>
      <c r="R62" s="2"/>
      <c r="S62" s="5">
        <f>74.09</f>
        <v>74.09</v>
      </c>
      <c r="T62" s="5">
        <f t="shared" si="47"/>
        <v>0</v>
      </c>
      <c r="U62" s="5">
        <f t="shared" si="47"/>
        <v>92.61</v>
      </c>
      <c r="V62" s="2"/>
      <c r="W62" s="5">
        <f>12.35</f>
        <v>12.35</v>
      </c>
      <c r="X62" s="2"/>
      <c r="Y62" s="2"/>
      <c r="Z62" s="5">
        <f>3750</f>
        <v>3750</v>
      </c>
      <c r="AA62" s="5">
        <f>15083.36</f>
        <v>15083.36</v>
      </c>
      <c r="AB62" s="5">
        <f t="shared" si="48"/>
        <v>3750</v>
      </c>
      <c r="AC62" s="5">
        <f t="shared" si="48"/>
        <v>15083.36</v>
      </c>
      <c r="AD62" s="2"/>
      <c r="AE62" s="5">
        <f>1572.89</f>
        <v>1572.89</v>
      </c>
      <c r="AF62" s="2"/>
      <c r="AG62" s="5">
        <f>64.83</f>
        <v>64.83</v>
      </c>
      <c r="AH62" s="5">
        <f t="shared" si="49"/>
        <v>0</v>
      </c>
      <c r="AI62" s="5">
        <f t="shared" si="49"/>
        <v>1637.72</v>
      </c>
      <c r="AJ62" s="5">
        <f t="shared" si="50"/>
        <v>3750</v>
      </c>
      <c r="AK62" s="5">
        <f t="shared" si="50"/>
        <v>16826.04</v>
      </c>
      <c r="AL62" s="5">
        <f t="shared" si="51"/>
        <v>8287.5</v>
      </c>
      <c r="AM62" s="5">
        <f t="shared" si="51"/>
        <v>17955.7</v>
      </c>
    </row>
    <row r="63" spans="1:39" x14ac:dyDescent="0.25">
      <c r="A63" s="3" t="s">
        <v>139</v>
      </c>
      <c r="B63" s="2"/>
      <c r="C63" s="2"/>
      <c r="D63" s="2"/>
      <c r="E63" s="2"/>
      <c r="F63" s="5">
        <f t="shared" si="46"/>
        <v>0</v>
      </c>
      <c r="G63" s="5">
        <f t="shared" si="46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5">
        <f t="shared" si="47"/>
        <v>0</v>
      </c>
      <c r="U63" s="5">
        <f t="shared" si="47"/>
        <v>0</v>
      </c>
      <c r="V63" s="2"/>
      <c r="W63" s="2"/>
      <c r="X63" s="2"/>
      <c r="Y63" s="2"/>
      <c r="Z63" s="2"/>
      <c r="AA63" s="5">
        <f>5000</f>
        <v>5000</v>
      </c>
      <c r="AB63" s="5">
        <f t="shared" si="48"/>
        <v>0</v>
      </c>
      <c r="AC63" s="5">
        <f t="shared" si="48"/>
        <v>5000</v>
      </c>
      <c r="AD63" s="2"/>
      <c r="AE63" s="2"/>
      <c r="AF63" s="2"/>
      <c r="AG63" s="2"/>
      <c r="AH63" s="5">
        <f t="shared" si="49"/>
        <v>0</v>
      </c>
      <c r="AI63" s="5">
        <f t="shared" si="49"/>
        <v>0</v>
      </c>
      <c r="AJ63" s="5">
        <f t="shared" si="50"/>
        <v>0</v>
      </c>
      <c r="AK63" s="5">
        <f t="shared" si="50"/>
        <v>5000</v>
      </c>
      <c r="AL63" s="5">
        <f t="shared" si="51"/>
        <v>0</v>
      </c>
      <c r="AM63" s="5">
        <f t="shared" si="51"/>
        <v>5000</v>
      </c>
    </row>
    <row r="64" spans="1:39" x14ac:dyDescent="0.25">
      <c r="A64" s="3" t="s">
        <v>140</v>
      </c>
      <c r="B64" s="4">
        <f>((((((((((((((((((((B43)+(B44))+(B45))+(B46))+(B47))+(B48))+(B49))+(B50))+(B51))+(B52))+(B53))+(B54))+(B55))+(B56))+(B57))+(B58))+(B59))+(B60))+(B61))+(B62))+(B63)</f>
        <v>12969.13</v>
      </c>
      <c r="C64" s="4">
        <f>((((((((((((((((((((C43)+(C44))+(C45))+(C46))+(C47))+(C48))+(C49))+(C50))+(C51))+(C52))+(C53))+(C54))+(C55))+(C56))+(C57))+(C58))+(C59))+(C60))+(C61))+(C62))+(C63)</f>
        <v>47029.859999999993</v>
      </c>
      <c r="D64" s="4">
        <f>((((((((((((((((((((D43)+(D44))+(D45))+(D46))+(D47))+(D48))+(D49))+(D50))+(D51))+(D52))+(D53))+(D54))+(D55))+(D56))+(D57))+(D58))+(D59))+(D60))+(D61))+(D62))+(D63)</f>
        <v>5275.279999999997</v>
      </c>
      <c r="E64" s="4">
        <f>((((((((((((((((((((E43)+(E44))+(E45))+(E46))+(E47))+(E48))+(E49))+(E50))+(E51))+(E52))+(E53))+(E54))+(E55))+(E56))+(E57))+(E58))+(E59))+(E60))+(E61))+(E62))+(E63)</f>
        <v>16294.4</v>
      </c>
      <c r="F64" s="4">
        <f t="shared" si="46"/>
        <v>18244.409999999996</v>
      </c>
      <c r="G64" s="4">
        <f t="shared" si="46"/>
        <v>63324.259999999995</v>
      </c>
      <c r="H64" s="4">
        <f t="shared" ref="H64:S64" si="52">((((((((((((((((((((H43)+(H44))+(H45))+(H46))+(H47))+(H48))+(H49))+(H50))+(H51))+(H52))+(H53))+(H54))+(H55))+(H56))+(H57))+(H58))+(H59))+(H60))+(H61))+(H62))+(H63)</f>
        <v>14842.680000000002</v>
      </c>
      <c r="I64" s="4">
        <f t="shared" si="52"/>
        <v>68101.47</v>
      </c>
      <c r="J64" s="4">
        <f t="shared" si="52"/>
        <v>0</v>
      </c>
      <c r="K64" s="4">
        <f t="shared" si="52"/>
        <v>0</v>
      </c>
      <c r="L64" s="4">
        <f t="shared" si="52"/>
        <v>0</v>
      </c>
      <c r="M64" s="4">
        <f t="shared" si="52"/>
        <v>0</v>
      </c>
      <c r="N64" s="4">
        <f t="shared" si="52"/>
        <v>1281.8400000000001</v>
      </c>
      <c r="O64" s="4">
        <f t="shared" si="52"/>
        <v>12142.06</v>
      </c>
      <c r="P64" s="4">
        <f t="shared" si="52"/>
        <v>1417.63</v>
      </c>
      <c r="Q64" s="4">
        <f t="shared" si="52"/>
        <v>5532.3799999999992</v>
      </c>
      <c r="R64" s="4">
        <f t="shared" si="52"/>
        <v>13519.199999999999</v>
      </c>
      <c r="S64" s="4">
        <f t="shared" si="52"/>
        <v>59719.799999999996</v>
      </c>
      <c r="T64" s="4">
        <f t="shared" si="47"/>
        <v>16218.669999999998</v>
      </c>
      <c r="U64" s="4">
        <f t="shared" si="47"/>
        <v>77394.239999999991</v>
      </c>
      <c r="V64" s="4">
        <f t="shared" ref="V64:AA64" si="53">((((((((((((((((((((V43)+(V44))+(V45))+(V46))+(V47))+(V48))+(V49))+(V50))+(V51))+(V52))+(V53))+(V54))+(V55))+(V56))+(V57))+(V58))+(V59))+(V60))+(V61))+(V62))+(V63)</f>
        <v>1150.71</v>
      </c>
      <c r="W64" s="4">
        <f t="shared" si="53"/>
        <v>120180.07</v>
      </c>
      <c r="X64" s="4">
        <f t="shared" si="53"/>
        <v>0</v>
      </c>
      <c r="Y64" s="4">
        <f t="shared" si="53"/>
        <v>0</v>
      </c>
      <c r="Z64" s="4">
        <f t="shared" si="53"/>
        <v>15419.619999999999</v>
      </c>
      <c r="AA64" s="4">
        <f t="shared" si="53"/>
        <v>65718.81</v>
      </c>
      <c r="AB64" s="4">
        <f t="shared" si="48"/>
        <v>15419.619999999999</v>
      </c>
      <c r="AC64" s="4">
        <f t="shared" si="48"/>
        <v>65718.81</v>
      </c>
      <c r="AD64" s="4">
        <f>((((((((((((((((((((AD43)+(AD44))+(AD45))+(AD46))+(AD47))+(AD48))+(AD49))+(AD50))+(AD51))+(AD52))+(AD53))+(AD54))+(AD55))+(AD56))+(AD57))+(AD58))+(AD59))+(AD60))+(AD61))+(AD62))+(AD63)</f>
        <v>32859.270000000004</v>
      </c>
      <c r="AE64" s="4">
        <f>((((((((((((((((((((AE43)+(AE44))+(AE45))+(AE46))+(AE47))+(AE48))+(AE49))+(AE50))+(AE51))+(AE52))+(AE53))+(AE54))+(AE55))+(AE56))+(AE57))+(AE58))+(AE59))+(AE60))+(AE61))+(AE62))+(AE63)</f>
        <v>156263.42000000004</v>
      </c>
      <c r="AF64" s="4">
        <f>((((((((((((((((((((AF43)+(AF44))+(AF45))+(AF46))+(AF47))+(AF48))+(AF49))+(AF50))+(AF51))+(AF52))+(AF53))+(AF54))+(AF55))+(AF56))+(AF57))+(AF58))+(AF59))+(AF60))+(AF61))+(AF62))+(AF63)</f>
        <v>8151.2199999999993</v>
      </c>
      <c r="AG64" s="4">
        <f>((((((((((((((((((((AG43)+(AG44))+(AG45))+(AG46))+(AG47))+(AG48))+(AG49))+(AG50))+(AG51))+(AG52))+(AG53))+(AG54))+(AG55))+(AG56))+(AG57))+(AG58))+(AG59))+(AG60))+(AG61))+(AG62))+(AG63)</f>
        <v>28675.629999999997</v>
      </c>
      <c r="AH64" s="4">
        <f t="shared" si="49"/>
        <v>41010.490000000005</v>
      </c>
      <c r="AI64" s="4">
        <f t="shared" si="49"/>
        <v>184939.05000000005</v>
      </c>
      <c r="AJ64" s="4">
        <f t="shared" si="50"/>
        <v>73799.490000000005</v>
      </c>
      <c r="AK64" s="4">
        <f t="shared" si="50"/>
        <v>448232.17000000004</v>
      </c>
      <c r="AL64" s="4">
        <f t="shared" si="51"/>
        <v>106886.58</v>
      </c>
      <c r="AM64" s="4">
        <f t="shared" si="51"/>
        <v>579657.9</v>
      </c>
    </row>
    <row r="65" spans="1:39" x14ac:dyDescent="0.25">
      <c r="A65" s="3" t="s">
        <v>141</v>
      </c>
      <c r="B65" s="4">
        <f>(B41)-(B64)</f>
        <v>97863.03</v>
      </c>
      <c r="C65" s="4">
        <f>(C41)-(C64)</f>
        <v>161633.14000000001</v>
      </c>
      <c r="D65" s="4">
        <f>(D41)-(D64)</f>
        <v>-5275.279999999997</v>
      </c>
      <c r="E65" s="4">
        <f>(E41)-(E64)</f>
        <v>-16294.4</v>
      </c>
      <c r="F65" s="4">
        <f t="shared" si="46"/>
        <v>92587.75</v>
      </c>
      <c r="G65" s="4">
        <f t="shared" si="46"/>
        <v>145338.74000000002</v>
      </c>
      <c r="H65" s="4">
        <f t="shared" ref="H65:S65" si="54">(H41)-(H64)</f>
        <v>1732.1000000000004</v>
      </c>
      <c r="I65" s="4">
        <f t="shared" si="54"/>
        <v>62998.53</v>
      </c>
      <c r="J65" s="4">
        <f t="shared" si="54"/>
        <v>0</v>
      </c>
      <c r="K65" s="4">
        <f t="shared" si="54"/>
        <v>0</v>
      </c>
      <c r="L65" s="4">
        <f t="shared" si="54"/>
        <v>0</v>
      </c>
      <c r="M65" s="4">
        <f t="shared" si="54"/>
        <v>0</v>
      </c>
      <c r="N65" s="4">
        <f t="shared" si="54"/>
        <v>-1281.8400000000001</v>
      </c>
      <c r="O65" s="4">
        <f t="shared" si="54"/>
        <v>-12142.06</v>
      </c>
      <c r="P65" s="4">
        <f t="shared" si="54"/>
        <v>-1417.63</v>
      </c>
      <c r="Q65" s="4">
        <f t="shared" si="54"/>
        <v>-5532.3799999999992</v>
      </c>
      <c r="R65" s="4">
        <f t="shared" si="54"/>
        <v>-13519.199999999999</v>
      </c>
      <c r="S65" s="4">
        <f t="shared" si="54"/>
        <v>-59719.799999999996</v>
      </c>
      <c r="T65" s="4">
        <f t="shared" si="47"/>
        <v>-16218.669999999998</v>
      </c>
      <c r="U65" s="4">
        <f t="shared" si="47"/>
        <v>-77394.239999999991</v>
      </c>
      <c r="V65" s="4">
        <f t="shared" ref="V65:AA65" si="55">(V41)-(V64)</f>
        <v>-1150.71</v>
      </c>
      <c r="W65" s="4">
        <f t="shared" si="55"/>
        <v>-1180.070000000007</v>
      </c>
      <c r="X65" s="4">
        <f t="shared" si="55"/>
        <v>0</v>
      </c>
      <c r="Y65" s="4">
        <f t="shared" si="55"/>
        <v>0</v>
      </c>
      <c r="Z65" s="4">
        <f t="shared" si="55"/>
        <v>24265.45</v>
      </c>
      <c r="AA65" s="4">
        <f t="shared" si="55"/>
        <v>26031.190000000002</v>
      </c>
      <c r="AB65" s="4">
        <f t="shared" si="48"/>
        <v>24265.45</v>
      </c>
      <c r="AC65" s="4">
        <f t="shared" si="48"/>
        <v>26031.190000000002</v>
      </c>
      <c r="AD65" s="4">
        <f>(AD41)-(AD64)</f>
        <v>-32859.270000000004</v>
      </c>
      <c r="AE65" s="4">
        <f>(AE41)-(AE64)</f>
        <v>-153763.42000000004</v>
      </c>
      <c r="AF65" s="4">
        <f>(AF41)-(AF64)</f>
        <v>15260.42</v>
      </c>
      <c r="AG65" s="4">
        <f>(AG41)-(AG64)</f>
        <v>-6675.6299999999974</v>
      </c>
      <c r="AH65" s="4">
        <f t="shared" si="49"/>
        <v>-17598.850000000006</v>
      </c>
      <c r="AI65" s="4">
        <f t="shared" si="49"/>
        <v>-160439.05000000005</v>
      </c>
      <c r="AJ65" s="4">
        <f t="shared" si="50"/>
        <v>-10702.780000000002</v>
      </c>
      <c r="AK65" s="4">
        <f t="shared" si="50"/>
        <v>-212982.17000000004</v>
      </c>
      <c r="AL65" s="4">
        <f t="shared" si="51"/>
        <v>83617.070000000007</v>
      </c>
      <c r="AM65" s="4">
        <f t="shared" si="51"/>
        <v>-4644.9000000000233</v>
      </c>
    </row>
    <row r="66" spans="1:39" x14ac:dyDescent="0.25">
      <c r="A66" s="3" t="s">
        <v>153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5">
      <c r="A67" s="3" t="s">
        <v>152</v>
      </c>
      <c r="B67" s="2"/>
      <c r="C67" s="2"/>
      <c r="D67" s="2"/>
      <c r="E67" s="2"/>
      <c r="F67" s="5">
        <f t="shared" ref="F67:G70" si="56">(B67)+(D67)</f>
        <v>0</v>
      </c>
      <c r="G67" s="5">
        <f t="shared" si="56"/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5">
        <f t="shared" ref="T67:U70" si="57">(((L67)+(N67))+(P67))+(R67)</f>
        <v>0</v>
      </c>
      <c r="U67" s="5">
        <f t="shared" si="57"/>
        <v>0</v>
      </c>
      <c r="V67" s="2"/>
      <c r="W67" s="5">
        <f>3000</f>
        <v>3000</v>
      </c>
      <c r="X67" s="2"/>
      <c r="Y67" s="2"/>
      <c r="Z67" s="2"/>
      <c r="AA67" s="2"/>
      <c r="AB67" s="5">
        <f t="shared" ref="AB67:AC70" si="58">(X67)+(Z67)</f>
        <v>0</v>
      </c>
      <c r="AC67" s="5">
        <f t="shared" si="58"/>
        <v>0</v>
      </c>
      <c r="AD67" s="2"/>
      <c r="AE67" s="2"/>
      <c r="AF67" s="2"/>
      <c r="AG67" s="2"/>
      <c r="AH67" s="5">
        <f t="shared" ref="AH67:AI70" si="59">(AD67)+(AF67)</f>
        <v>0</v>
      </c>
      <c r="AI67" s="5">
        <f t="shared" si="59"/>
        <v>0</v>
      </c>
      <c r="AJ67" s="5">
        <f t="shared" ref="AJ67:AK70" si="60">((((J67)+(T67))+(V67))+(AB67))+(AH67)</f>
        <v>0</v>
      </c>
      <c r="AK67" s="5">
        <f t="shared" si="60"/>
        <v>3000</v>
      </c>
      <c r="AL67" s="5">
        <f t="shared" ref="AL67:AM70" si="61">((F67)+(H67))+(AJ67)</f>
        <v>0</v>
      </c>
      <c r="AM67" s="5">
        <f t="shared" si="61"/>
        <v>3000</v>
      </c>
    </row>
    <row r="68" spans="1:39" x14ac:dyDescent="0.25">
      <c r="A68" s="3" t="s">
        <v>151</v>
      </c>
      <c r="B68" s="4">
        <f>B67</f>
        <v>0</v>
      </c>
      <c r="C68" s="4">
        <f>C67</f>
        <v>0</v>
      </c>
      <c r="D68" s="4">
        <f>D67</f>
        <v>0</v>
      </c>
      <c r="E68" s="4">
        <f>E67</f>
        <v>0</v>
      </c>
      <c r="F68" s="4">
        <f t="shared" si="56"/>
        <v>0</v>
      </c>
      <c r="G68" s="4">
        <f t="shared" si="56"/>
        <v>0</v>
      </c>
      <c r="H68" s="4">
        <f t="shared" ref="H68:S68" si="62">H67</f>
        <v>0</v>
      </c>
      <c r="I68" s="4">
        <f t="shared" si="62"/>
        <v>0</v>
      </c>
      <c r="J68" s="4">
        <f t="shared" si="62"/>
        <v>0</v>
      </c>
      <c r="K68" s="4">
        <f t="shared" si="62"/>
        <v>0</v>
      </c>
      <c r="L68" s="4">
        <f t="shared" si="62"/>
        <v>0</v>
      </c>
      <c r="M68" s="4">
        <f t="shared" si="62"/>
        <v>0</v>
      </c>
      <c r="N68" s="4">
        <f t="shared" si="62"/>
        <v>0</v>
      </c>
      <c r="O68" s="4">
        <f t="shared" si="62"/>
        <v>0</v>
      </c>
      <c r="P68" s="4">
        <f t="shared" si="62"/>
        <v>0</v>
      </c>
      <c r="Q68" s="4">
        <f t="shared" si="62"/>
        <v>0</v>
      </c>
      <c r="R68" s="4">
        <f t="shared" si="62"/>
        <v>0</v>
      </c>
      <c r="S68" s="4">
        <f t="shared" si="62"/>
        <v>0</v>
      </c>
      <c r="T68" s="4">
        <f t="shared" si="57"/>
        <v>0</v>
      </c>
      <c r="U68" s="4">
        <f t="shared" si="57"/>
        <v>0</v>
      </c>
      <c r="V68" s="4">
        <f t="shared" ref="V68:AA68" si="63">V67</f>
        <v>0</v>
      </c>
      <c r="W68" s="4">
        <f t="shared" si="63"/>
        <v>3000</v>
      </c>
      <c r="X68" s="4">
        <f t="shared" si="63"/>
        <v>0</v>
      </c>
      <c r="Y68" s="4">
        <f t="shared" si="63"/>
        <v>0</v>
      </c>
      <c r="Z68" s="4">
        <f t="shared" si="63"/>
        <v>0</v>
      </c>
      <c r="AA68" s="4">
        <f t="shared" si="63"/>
        <v>0</v>
      </c>
      <c r="AB68" s="4">
        <f t="shared" si="58"/>
        <v>0</v>
      </c>
      <c r="AC68" s="4">
        <f t="shared" si="58"/>
        <v>0</v>
      </c>
      <c r="AD68" s="4">
        <f>AD67</f>
        <v>0</v>
      </c>
      <c r="AE68" s="4">
        <f>AE67</f>
        <v>0</v>
      </c>
      <c r="AF68" s="4">
        <f>AF67</f>
        <v>0</v>
      </c>
      <c r="AG68" s="4">
        <f>AG67</f>
        <v>0</v>
      </c>
      <c r="AH68" s="4">
        <f t="shared" si="59"/>
        <v>0</v>
      </c>
      <c r="AI68" s="4">
        <f t="shared" si="59"/>
        <v>0</v>
      </c>
      <c r="AJ68" s="4">
        <f t="shared" si="60"/>
        <v>0</v>
      </c>
      <c r="AK68" s="4">
        <f t="shared" si="60"/>
        <v>3000</v>
      </c>
      <c r="AL68" s="4">
        <f t="shared" si="61"/>
        <v>0</v>
      </c>
      <c r="AM68" s="4">
        <f t="shared" si="61"/>
        <v>3000</v>
      </c>
    </row>
    <row r="69" spans="1:39" x14ac:dyDescent="0.25">
      <c r="A69" s="3" t="s">
        <v>150</v>
      </c>
      <c r="B69" s="4">
        <f>(0)-(B68)</f>
        <v>0</v>
      </c>
      <c r="C69" s="4">
        <f>(0)-(C68)</f>
        <v>0</v>
      </c>
      <c r="D69" s="4">
        <f>(0)-(D68)</f>
        <v>0</v>
      </c>
      <c r="E69" s="4">
        <f>(0)-(E68)</f>
        <v>0</v>
      </c>
      <c r="F69" s="4">
        <f t="shared" si="56"/>
        <v>0</v>
      </c>
      <c r="G69" s="4">
        <f t="shared" si="56"/>
        <v>0</v>
      </c>
      <c r="H69" s="4">
        <f t="shared" ref="H69:S69" si="64">(0)-(H68)</f>
        <v>0</v>
      </c>
      <c r="I69" s="4">
        <f t="shared" si="64"/>
        <v>0</v>
      </c>
      <c r="J69" s="4">
        <f t="shared" si="64"/>
        <v>0</v>
      </c>
      <c r="K69" s="4">
        <f t="shared" si="64"/>
        <v>0</v>
      </c>
      <c r="L69" s="4">
        <f t="shared" si="64"/>
        <v>0</v>
      </c>
      <c r="M69" s="4">
        <f t="shared" si="64"/>
        <v>0</v>
      </c>
      <c r="N69" s="4">
        <f t="shared" si="64"/>
        <v>0</v>
      </c>
      <c r="O69" s="4">
        <f t="shared" si="64"/>
        <v>0</v>
      </c>
      <c r="P69" s="4">
        <f t="shared" si="64"/>
        <v>0</v>
      </c>
      <c r="Q69" s="4">
        <f t="shared" si="64"/>
        <v>0</v>
      </c>
      <c r="R69" s="4">
        <f t="shared" si="64"/>
        <v>0</v>
      </c>
      <c r="S69" s="4">
        <f t="shared" si="64"/>
        <v>0</v>
      </c>
      <c r="T69" s="4">
        <f t="shared" si="57"/>
        <v>0</v>
      </c>
      <c r="U69" s="4">
        <f t="shared" si="57"/>
        <v>0</v>
      </c>
      <c r="V69" s="4">
        <f t="shared" ref="V69:AA69" si="65">(0)-(V68)</f>
        <v>0</v>
      </c>
      <c r="W69" s="4">
        <f t="shared" si="65"/>
        <v>-3000</v>
      </c>
      <c r="X69" s="4">
        <f t="shared" si="65"/>
        <v>0</v>
      </c>
      <c r="Y69" s="4">
        <f t="shared" si="65"/>
        <v>0</v>
      </c>
      <c r="Z69" s="4">
        <f t="shared" si="65"/>
        <v>0</v>
      </c>
      <c r="AA69" s="4">
        <f t="shared" si="65"/>
        <v>0</v>
      </c>
      <c r="AB69" s="4">
        <f t="shared" si="58"/>
        <v>0</v>
      </c>
      <c r="AC69" s="4">
        <f t="shared" si="58"/>
        <v>0</v>
      </c>
      <c r="AD69" s="4">
        <f>(0)-(AD68)</f>
        <v>0</v>
      </c>
      <c r="AE69" s="4">
        <f>(0)-(AE68)</f>
        <v>0</v>
      </c>
      <c r="AF69" s="4">
        <f>(0)-(AF68)</f>
        <v>0</v>
      </c>
      <c r="AG69" s="4">
        <f>(0)-(AG68)</f>
        <v>0</v>
      </c>
      <c r="AH69" s="4">
        <f t="shared" si="59"/>
        <v>0</v>
      </c>
      <c r="AI69" s="4">
        <f t="shared" si="59"/>
        <v>0</v>
      </c>
      <c r="AJ69" s="4">
        <f t="shared" si="60"/>
        <v>0</v>
      </c>
      <c r="AK69" s="4">
        <f t="shared" si="60"/>
        <v>-3000</v>
      </c>
      <c r="AL69" s="4">
        <f t="shared" si="61"/>
        <v>0</v>
      </c>
      <c r="AM69" s="4">
        <f t="shared" si="61"/>
        <v>-3000</v>
      </c>
    </row>
    <row r="70" spans="1:39" x14ac:dyDescent="0.25">
      <c r="A70" s="3" t="s">
        <v>2</v>
      </c>
      <c r="B70" s="4">
        <f>(B65)+(B69)</f>
        <v>97863.03</v>
      </c>
      <c r="C70" s="4">
        <f>(C65)+(C69)</f>
        <v>161633.14000000001</v>
      </c>
      <c r="D70" s="4">
        <f>(D65)+(D69)</f>
        <v>-5275.279999999997</v>
      </c>
      <c r="E70" s="4">
        <f>(E65)+(E69)</f>
        <v>-16294.4</v>
      </c>
      <c r="F70" s="4">
        <f t="shared" si="56"/>
        <v>92587.75</v>
      </c>
      <c r="G70" s="4">
        <f t="shared" si="56"/>
        <v>145338.74000000002</v>
      </c>
      <c r="H70" s="4">
        <f t="shared" ref="H70:S70" si="66">(H65)+(H69)</f>
        <v>1732.1000000000004</v>
      </c>
      <c r="I70" s="4">
        <f t="shared" si="66"/>
        <v>62998.53</v>
      </c>
      <c r="J70" s="4">
        <f t="shared" si="66"/>
        <v>0</v>
      </c>
      <c r="K70" s="4">
        <f t="shared" si="66"/>
        <v>0</v>
      </c>
      <c r="L70" s="4">
        <f t="shared" si="66"/>
        <v>0</v>
      </c>
      <c r="M70" s="4">
        <f t="shared" si="66"/>
        <v>0</v>
      </c>
      <c r="N70" s="4">
        <f t="shared" si="66"/>
        <v>-1281.8400000000001</v>
      </c>
      <c r="O70" s="4">
        <f t="shared" si="66"/>
        <v>-12142.06</v>
      </c>
      <c r="P70" s="4">
        <f t="shared" si="66"/>
        <v>-1417.63</v>
      </c>
      <c r="Q70" s="4">
        <f t="shared" si="66"/>
        <v>-5532.3799999999992</v>
      </c>
      <c r="R70" s="4">
        <f t="shared" si="66"/>
        <v>-13519.199999999999</v>
      </c>
      <c r="S70" s="4">
        <f t="shared" si="66"/>
        <v>-59719.799999999996</v>
      </c>
      <c r="T70" s="4">
        <f t="shared" si="57"/>
        <v>-16218.669999999998</v>
      </c>
      <c r="U70" s="4">
        <f t="shared" si="57"/>
        <v>-77394.239999999991</v>
      </c>
      <c r="V70" s="4">
        <f t="shared" ref="V70:AA70" si="67">(V65)+(V69)</f>
        <v>-1150.71</v>
      </c>
      <c r="W70" s="4">
        <f t="shared" si="67"/>
        <v>-4180.070000000007</v>
      </c>
      <c r="X70" s="4">
        <f t="shared" si="67"/>
        <v>0</v>
      </c>
      <c r="Y70" s="4">
        <f t="shared" si="67"/>
        <v>0</v>
      </c>
      <c r="Z70" s="4">
        <f t="shared" si="67"/>
        <v>24265.45</v>
      </c>
      <c r="AA70" s="4">
        <f t="shared" si="67"/>
        <v>26031.190000000002</v>
      </c>
      <c r="AB70" s="4">
        <f t="shared" si="58"/>
        <v>24265.45</v>
      </c>
      <c r="AC70" s="4">
        <f t="shared" si="58"/>
        <v>26031.190000000002</v>
      </c>
      <c r="AD70" s="4">
        <f>(AD65)+(AD69)</f>
        <v>-32859.270000000004</v>
      </c>
      <c r="AE70" s="4">
        <f>(AE65)+(AE69)</f>
        <v>-153763.42000000004</v>
      </c>
      <c r="AF70" s="4">
        <f>(AF65)+(AF69)</f>
        <v>15260.42</v>
      </c>
      <c r="AG70" s="4">
        <f>(AG65)+(AG69)</f>
        <v>-6675.6299999999974</v>
      </c>
      <c r="AH70" s="4">
        <f t="shared" si="59"/>
        <v>-17598.850000000006</v>
      </c>
      <c r="AI70" s="4">
        <f t="shared" si="59"/>
        <v>-160439.05000000005</v>
      </c>
      <c r="AJ70" s="4">
        <f t="shared" si="60"/>
        <v>-10702.780000000002</v>
      </c>
      <c r="AK70" s="4">
        <f t="shared" si="60"/>
        <v>-215982.17000000004</v>
      </c>
      <c r="AL70" s="4">
        <f t="shared" si="61"/>
        <v>83617.070000000007</v>
      </c>
      <c r="AM70" s="4">
        <f t="shared" si="61"/>
        <v>-7644.9000000000233</v>
      </c>
    </row>
    <row r="71" spans="1:39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4" spans="1:39" x14ac:dyDescent="0.25">
      <c r="A74" s="10" t="s">
        <v>166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</sheetData>
  <mergeCells count="23">
    <mergeCell ref="A74:AM74"/>
    <mergeCell ref="A1:AM1"/>
    <mergeCell ref="A2:AM2"/>
    <mergeCell ref="A3:AM3"/>
    <mergeCell ref="AL5:AM5"/>
    <mergeCell ref="AJ5:AK5"/>
    <mergeCell ref="Z5:AA5"/>
    <mergeCell ref="AB5:AC5"/>
    <mergeCell ref="AD5:AE5"/>
    <mergeCell ref="AF5:AG5"/>
    <mergeCell ref="AH5:AI5"/>
    <mergeCell ref="B5:C5"/>
    <mergeCell ref="D5:E5"/>
    <mergeCell ref="F5:G5"/>
    <mergeCell ref="H5:I5"/>
    <mergeCell ref="J5:K5"/>
    <mergeCell ref="V5:W5"/>
    <mergeCell ref="X5:Y5"/>
    <mergeCell ref="L5:M5"/>
    <mergeCell ref="N5:O5"/>
    <mergeCell ref="P5:Q5"/>
    <mergeCell ref="R5:S5"/>
    <mergeCell ref="T5:U5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64" r:id="rId4" name="TextBox20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64" r:id="rId4" name="TextBox20"/>
      </mc:Fallback>
    </mc:AlternateContent>
    <mc:AlternateContent xmlns:mc="http://schemas.openxmlformats.org/markup-compatibility/2006">
      <mc:Choice Requires="x14">
        <control shapeId="6163" r:id="rId6" name="TextBox19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63" r:id="rId6" name="TextBox19"/>
      </mc:Fallback>
    </mc:AlternateContent>
    <mc:AlternateContent xmlns:mc="http://schemas.openxmlformats.org/markup-compatibility/2006">
      <mc:Choice Requires="x14">
        <control shapeId="6160" r:id="rId8" name="TextBox16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60" r:id="rId8" name="TextBox16"/>
      </mc:Fallback>
    </mc:AlternateContent>
    <mc:AlternateContent xmlns:mc="http://schemas.openxmlformats.org/markup-compatibility/2006">
      <mc:Choice Requires="x14">
        <control shapeId="6159" r:id="rId10" name="TextBox15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9" r:id="rId10" name="TextBox15"/>
      </mc:Fallback>
    </mc:AlternateContent>
    <mc:AlternateContent xmlns:mc="http://schemas.openxmlformats.org/markup-compatibility/2006">
      <mc:Choice Requires="x14">
        <control shapeId="6158" r:id="rId12" name="TextBox14">
          <controlPr defaultSize="0" autoLine="0" r:id="rId1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8" r:id="rId12" name="TextBox14"/>
      </mc:Fallback>
    </mc:AlternateContent>
    <mc:AlternateContent xmlns:mc="http://schemas.openxmlformats.org/markup-compatibility/2006">
      <mc:Choice Requires="x14">
        <control shapeId="6157" r:id="rId14" name="TextBox13">
          <controlPr defaultSize="0" autoLine="0" r:id="rId1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7" r:id="rId14" name="TextBox13"/>
      </mc:Fallback>
    </mc:AlternateContent>
    <mc:AlternateContent xmlns:mc="http://schemas.openxmlformats.org/markup-compatibility/2006">
      <mc:Choice Requires="x14">
        <control shapeId="6152" r:id="rId16" name="TextBox8">
          <controlPr defaultSize="0" autoLine="0" r:id="rId1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2" r:id="rId16" name="TextBox8"/>
      </mc:Fallback>
    </mc:AlternateContent>
    <mc:AlternateContent xmlns:mc="http://schemas.openxmlformats.org/markup-compatibility/2006">
      <mc:Choice Requires="x14">
        <control shapeId="6151" r:id="rId18" name="TextBox7">
          <controlPr defaultSize="0" autoLine="0" r:id="rId1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1" r:id="rId18" name="TextBox7"/>
      </mc:Fallback>
    </mc:AlternateContent>
    <mc:AlternateContent xmlns:mc="http://schemas.openxmlformats.org/markup-compatibility/2006">
      <mc:Choice Requires="x14">
        <control shapeId="6150" r:id="rId20" name="TextBox6">
          <controlPr defaultSize="0" autoLine="0" r:id="rId2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0" r:id="rId20" name="TextBox6"/>
      </mc:Fallback>
    </mc:AlternateContent>
    <mc:AlternateContent xmlns:mc="http://schemas.openxmlformats.org/markup-compatibility/2006">
      <mc:Choice Requires="x14">
        <control shapeId="6149" r:id="rId22" name="TextBox5">
          <controlPr defaultSize="0" autoLine="0" r:id="rId2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49" r:id="rId22" name="TextBox5"/>
      </mc:Fallback>
    </mc:AlternateContent>
    <mc:AlternateContent xmlns:mc="http://schemas.openxmlformats.org/markup-compatibility/2006">
      <mc:Choice Requires="x14">
        <control shapeId="6148" r:id="rId24" name="TextBox4">
          <controlPr defaultSize="0" autoLine="0" r:id="rId2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48" r:id="rId24" name="TextBox4"/>
      </mc:Fallback>
    </mc:AlternateContent>
    <mc:AlternateContent xmlns:mc="http://schemas.openxmlformats.org/markup-compatibility/2006">
      <mc:Choice Requires="x14">
        <control shapeId="6147" r:id="rId26" name="TextBox3">
          <controlPr defaultSize="0" autoLine="0" r:id="rId2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47" r:id="rId26" name="TextBox3"/>
      </mc:Fallback>
    </mc:AlternateContent>
    <mc:AlternateContent xmlns:mc="http://schemas.openxmlformats.org/markup-compatibility/2006">
      <mc:Choice Requires="x14">
        <control shapeId="6145" r:id="rId28" name="TextBox1">
          <controlPr defaultSize="0" autoLine="0" r:id="rId2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45" r:id="rId28" name="TextBox1"/>
      </mc:Fallback>
    </mc:AlternateContent>
    <mc:AlternateContent xmlns:mc="http://schemas.openxmlformats.org/markup-compatibility/2006">
      <mc:Choice Requires="x14">
        <control shapeId="6146" r:id="rId30" name="TextBox2">
          <controlPr defaultSize="0" autoLine="0" r:id="rId3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46" r:id="rId30" name="TextBox2"/>
      </mc:Fallback>
    </mc:AlternateContent>
    <mc:AlternateContent xmlns:mc="http://schemas.openxmlformats.org/markup-compatibility/2006">
      <mc:Choice Requires="x14">
        <control shapeId="6153" r:id="rId32" name="TextBox9">
          <controlPr defaultSize="0" autoLine="0" r:id="rId3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3" r:id="rId32" name="TextBox9"/>
      </mc:Fallback>
    </mc:AlternateContent>
    <mc:AlternateContent xmlns:mc="http://schemas.openxmlformats.org/markup-compatibility/2006">
      <mc:Choice Requires="x14">
        <control shapeId="6154" r:id="rId34" name="TextBox10">
          <controlPr defaultSize="0" autoLine="0" r:id="rId3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4" r:id="rId34" name="TextBox10"/>
      </mc:Fallback>
    </mc:AlternateContent>
    <mc:AlternateContent xmlns:mc="http://schemas.openxmlformats.org/markup-compatibility/2006">
      <mc:Choice Requires="x14">
        <control shapeId="6155" r:id="rId36" name="TextBox11">
          <controlPr defaultSize="0" autoLine="0" r:id="rId3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5" r:id="rId36" name="TextBox11"/>
      </mc:Fallback>
    </mc:AlternateContent>
    <mc:AlternateContent xmlns:mc="http://schemas.openxmlformats.org/markup-compatibility/2006">
      <mc:Choice Requires="x14">
        <control shapeId="6156" r:id="rId38" name="TextBox12">
          <controlPr defaultSize="0" autoLine="0" r:id="rId3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56" r:id="rId38" name="TextBox12"/>
      </mc:Fallback>
    </mc:AlternateContent>
    <mc:AlternateContent xmlns:mc="http://schemas.openxmlformats.org/markup-compatibility/2006">
      <mc:Choice Requires="x14">
        <control shapeId="6161" r:id="rId40" name="TextBox17">
          <controlPr defaultSize="0" autoLine="0" r:id="rId4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61" r:id="rId40" name="TextBox17"/>
      </mc:Fallback>
    </mc:AlternateContent>
    <mc:AlternateContent xmlns:mc="http://schemas.openxmlformats.org/markup-compatibility/2006">
      <mc:Choice Requires="x14">
        <control shapeId="6162" r:id="rId42" name="TextBox18">
          <controlPr defaultSize="0" autoLine="0" r:id="rId43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0</xdr:rowOff>
              </to>
            </anchor>
          </controlPr>
        </control>
      </mc:Choice>
      <mc:Fallback>
        <control shapeId="6162" r:id="rId42" name="TextBox1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StmtofFinancialPosition</vt:lpstr>
      <vt:lpstr>Stmt.ofActivitieswBudget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Venegas</dc:creator>
  <cp:lastModifiedBy>sstone@lwvc.org</cp:lastModifiedBy>
  <dcterms:created xsi:type="dcterms:W3CDTF">2021-05-03T16:44:10Z</dcterms:created>
  <dcterms:modified xsi:type="dcterms:W3CDTF">2022-11-18T21:21:26Z</dcterms:modified>
</cp:coreProperties>
</file>