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985" yWindow="-15" windowWidth="12030" windowHeight="10140" tabRatio="883"/>
  </bookViews>
  <sheets>
    <sheet name="Summary Reports" sheetId="2" r:id="rId1"/>
    <sheet name="LWVC Summary" sheetId="6" r:id="rId2"/>
    <sheet name="LWVC-Stmt of Act. by Class" sheetId="7" r:id="rId3"/>
    <sheet name="LWVC-Stmt of Activities by Mth" sheetId="23" r:id="rId4"/>
    <sheet name="LWVC-Stmt of Fin. Postn. by Mth" sheetId="19" r:id="rId5"/>
    <sheet name="LWVCEF Summary" sheetId="5" r:id="rId6"/>
    <sheet name="LWVCEF-Stmt.of Act. By Class" sheetId="29" r:id="rId7"/>
    <sheet name="LWVCEF-StmtofActbyClasswBudget" sheetId="30" r:id="rId8"/>
    <sheet name="LWVCEF-Stmt. of Act. by Month" sheetId="26" r:id="rId9"/>
    <sheet name="LWVCEF-Stmt of Fin. Pos. by mth" sheetId="21" r:id="rId10"/>
    <sheet name="FASB117 " sheetId="24" r:id="rId11"/>
  </sheets>
  <externalReferences>
    <externalReference r:id="rId12"/>
  </externalReferences>
  <definedNames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10">'FASB117 '!$A$1:$L$51</definedName>
    <definedName name="_xlnm.Print_Titles" localSheetId="10">'FASB117 '!$A:$G,'FASB117 '!$1:$1</definedName>
    <definedName name="_xlnm.Print_Titles" localSheetId="9">'LWVCEF-Stmt of Fin. Pos. by mth'!$A:$G,'LWVCEF-Stmt of Fin. Pos. by mth'!$1:$1</definedName>
    <definedName name="_xlnm.Print_Titles" localSheetId="8">'LWVCEF-Stmt. of Act. by Month'!$A:$G,'LWVCEF-Stmt. of Act. by Month'!$1:$1</definedName>
    <definedName name="_xlnm.Print_Titles" localSheetId="2">'LWVC-Stmt of Act. by Class'!$A:$G,'LWVC-Stmt of Act. by Class'!$1:$3</definedName>
    <definedName name="_xlnm.Print_Titles" localSheetId="3">'LWVC-Stmt of Activities by Mth'!$A:$G,'LWVC-Stmt of Activities by Mth'!$1:$1</definedName>
    <definedName name="_xlnm.Print_Titles" localSheetId="4">'LWVC-Stmt of Fin. Postn. by Mth'!$A:$G,'LWVC-Stmt of Fin. Postn. by Mth'!$1:$1</definedName>
    <definedName name="QB_COLUMN_192300" localSheetId="2" hidden="1">'LWVC-Stmt of Act. by Class'!#REF!</definedName>
    <definedName name="QB_COLUMN_192301" localSheetId="2" hidden="1">'LWVC-Stmt of Act. by Class'!#REF!</definedName>
    <definedName name="QB_COLUMN_193200" localSheetId="2" hidden="1">'LWVC-Stmt of Act. by Class'!#REF!</definedName>
    <definedName name="QB_COLUMN_193201" localSheetId="2" hidden="1">'LWVC-Stmt of Act. by Class'!#REF!</definedName>
    <definedName name="QB_COLUMN_212200" localSheetId="2" hidden="1">'LWVC-Stmt of Act. by Class'!#REF!</definedName>
    <definedName name="QB_COLUMN_212201" localSheetId="2" hidden="1">'LWVC-Stmt of Act. by Class'!#REF!</definedName>
    <definedName name="QB_COLUMN_213101" localSheetId="2" hidden="1">'LWVC-Stmt of Act. by Class'!#REF!</definedName>
    <definedName name="QB_COLUMN_222200" localSheetId="2" hidden="1">'LWVC-Stmt of Act. by Class'!#REF!</definedName>
    <definedName name="QB_COLUMN_222201" localSheetId="2" hidden="1">'LWVC-Stmt of Act. by Class'!#REF!</definedName>
    <definedName name="QB_COLUMN_22300" localSheetId="2" hidden="1">'LWVC-Stmt of Act. by Class'!#REF!</definedName>
    <definedName name="QB_COLUMN_22301" localSheetId="2" hidden="1">'LWVC-Stmt of Act. by Class'!#REF!</definedName>
    <definedName name="QB_COLUMN_23200" localSheetId="2" hidden="1">'LWVC-Stmt of Act. by Class'!#REF!</definedName>
    <definedName name="QB_COLUMN_23201" localSheetId="2" hidden="1">'LWVC-Stmt of Act. by Class'!#REF!</definedName>
    <definedName name="QB_COLUMN_242300" localSheetId="2" hidden="1">'LWVC-Stmt of Act. by Class'!#REF!</definedName>
    <definedName name="QB_COLUMN_242301" localSheetId="2" hidden="1">'LWVC-Stmt of Act. by Class'!#REF!</definedName>
    <definedName name="QB_COLUMN_29" localSheetId="10" hidden="1">'FASB117 '!$H$1</definedName>
    <definedName name="QB_COLUMN_2920" localSheetId="9" hidden="1">'LWVCEF-Stmt of Fin. Pos. by mth'!$H$1</definedName>
    <definedName name="QB_COLUMN_2920" localSheetId="4" hidden="1">'LWVC-Stmt of Fin. Postn. by Mth'!$H$1</definedName>
    <definedName name="QB_COLUMN_2921" localSheetId="9" hidden="1">'LWVCEF-Stmt of Fin. Pos. by mth'!$J$1</definedName>
    <definedName name="QB_COLUMN_2921" localSheetId="8" hidden="1">'LWVCEF-Stmt. of Act. by Month'!$H$1</definedName>
    <definedName name="QB_COLUMN_2921" localSheetId="3" hidden="1">'LWVC-Stmt of Activities by Mth'!$H$1</definedName>
    <definedName name="QB_COLUMN_2921" localSheetId="4" hidden="1">'LWVC-Stmt of Fin. Postn. by Mth'!$J$1</definedName>
    <definedName name="QB_COLUMN_29210" localSheetId="9" hidden="1">'LWVCEF-Stmt of Fin. Pos. by mth'!$AB$1</definedName>
    <definedName name="QB_COLUMN_29210" localSheetId="8" hidden="1">'LWVCEF-Stmt. of Act. by Month'!$Z$1</definedName>
    <definedName name="QB_COLUMN_29210" localSheetId="3" hidden="1">'LWVC-Stmt of Activities by Mth'!$Z$1</definedName>
    <definedName name="QB_COLUMN_29210" localSheetId="4" hidden="1">'LWVC-Stmt of Fin. Postn. by Mth'!$AB$1</definedName>
    <definedName name="QB_COLUMN_29211" localSheetId="9" hidden="1">'LWVCEF-Stmt of Fin. Pos. by mth'!$AD$1</definedName>
    <definedName name="QB_COLUMN_29211" localSheetId="8" hidden="1">'LWVCEF-Stmt. of Act. by Month'!$AB$1</definedName>
    <definedName name="QB_COLUMN_29211" localSheetId="3" hidden="1">'LWVC-Stmt of Activities by Mth'!$AB$1</definedName>
    <definedName name="QB_COLUMN_29211" localSheetId="4" hidden="1">'LWVC-Stmt of Fin. Postn. by Mth'!$AD$1</definedName>
    <definedName name="QB_COLUMN_29212" localSheetId="8" hidden="1">'LWVCEF-Stmt. of Act. by Month'!$AD$1</definedName>
    <definedName name="QB_COLUMN_29212" localSheetId="3" hidden="1">'LWVC-Stmt of Activities by Mth'!$AD$1</definedName>
    <definedName name="QB_COLUMN_2922" localSheetId="9" hidden="1">'LWVCEF-Stmt of Fin. Pos. by mth'!$L$1</definedName>
    <definedName name="QB_COLUMN_2922" localSheetId="8" hidden="1">'LWVCEF-Stmt. of Act. by Month'!$J$1</definedName>
    <definedName name="QB_COLUMN_2922" localSheetId="3" hidden="1">'LWVC-Stmt of Activities by Mth'!$J$1</definedName>
    <definedName name="QB_COLUMN_2922" localSheetId="4" hidden="1">'LWVC-Stmt of Fin. Postn. by Mth'!$L$1</definedName>
    <definedName name="QB_COLUMN_2923" localSheetId="9" hidden="1">'LWVCEF-Stmt of Fin. Pos. by mth'!$N$1</definedName>
    <definedName name="QB_COLUMN_2923" localSheetId="8" hidden="1">'LWVCEF-Stmt. of Act. by Month'!$L$1</definedName>
    <definedName name="QB_COLUMN_2923" localSheetId="3" hidden="1">'LWVC-Stmt of Activities by Mth'!$L$1</definedName>
    <definedName name="QB_COLUMN_2923" localSheetId="4" hidden="1">'LWVC-Stmt of Fin. Postn. by Mth'!$N$1</definedName>
    <definedName name="QB_COLUMN_2924" localSheetId="9" hidden="1">'LWVCEF-Stmt of Fin. Pos. by mth'!$P$1</definedName>
    <definedName name="QB_COLUMN_2924" localSheetId="8" hidden="1">'LWVCEF-Stmt. of Act. by Month'!$N$1</definedName>
    <definedName name="QB_COLUMN_2924" localSheetId="3" hidden="1">'LWVC-Stmt of Activities by Mth'!$N$1</definedName>
    <definedName name="QB_COLUMN_2924" localSheetId="4" hidden="1">'LWVC-Stmt of Fin. Postn. by Mth'!$P$1</definedName>
    <definedName name="QB_COLUMN_2925" localSheetId="9" hidden="1">'LWVCEF-Stmt of Fin. Pos. by mth'!$R$1</definedName>
    <definedName name="QB_COLUMN_2925" localSheetId="8" hidden="1">'LWVCEF-Stmt. of Act. by Month'!$P$1</definedName>
    <definedName name="QB_COLUMN_2925" localSheetId="3" hidden="1">'LWVC-Stmt of Activities by Mth'!$P$1</definedName>
    <definedName name="QB_COLUMN_2925" localSheetId="4" hidden="1">'LWVC-Stmt of Fin. Postn. by Mth'!$R$1</definedName>
    <definedName name="QB_COLUMN_2926" localSheetId="9" hidden="1">'LWVCEF-Stmt of Fin. Pos. by mth'!$T$1</definedName>
    <definedName name="QB_COLUMN_2926" localSheetId="8" hidden="1">'LWVCEF-Stmt. of Act. by Month'!$R$1</definedName>
    <definedName name="QB_COLUMN_2926" localSheetId="3" hidden="1">'LWVC-Stmt of Activities by Mth'!$R$1</definedName>
    <definedName name="QB_COLUMN_2926" localSheetId="4" hidden="1">'LWVC-Stmt of Fin. Postn. by Mth'!$T$1</definedName>
    <definedName name="QB_COLUMN_2927" localSheetId="9" hidden="1">'LWVCEF-Stmt of Fin. Pos. by mth'!$V$1</definedName>
    <definedName name="QB_COLUMN_2927" localSheetId="8" hidden="1">'LWVCEF-Stmt. of Act. by Month'!$T$1</definedName>
    <definedName name="QB_COLUMN_2927" localSheetId="3" hidden="1">'LWVC-Stmt of Activities by Mth'!$T$1</definedName>
    <definedName name="QB_COLUMN_2927" localSheetId="4" hidden="1">'LWVC-Stmt of Fin. Postn. by Mth'!$V$1</definedName>
    <definedName name="QB_COLUMN_2928" localSheetId="9" hidden="1">'LWVCEF-Stmt of Fin. Pos. by mth'!$X$1</definedName>
    <definedName name="QB_COLUMN_2928" localSheetId="8" hidden="1">'LWVCEF-Stmt. of Act. by Month'!$V$1</definedName>
    <definedName name="QB_COLUMN_2928" localSheetId="3" hidden="1">'LWVC-Stmt of Activities by Mth'!$V$1</definedName>
    <definedName name="QB_COLUMN_2928" localSheetId="4" hidden="1">'LWVC-Stmt of Fin. Postn. by Mth'!$X$1</definedName>
    <definedName name="QB_COLUMN_2929" localSheetId="9" hidden="1">'LWVCEF-Stmt of Fin. Pos. by mth'!$Z$1</definedName>
    <definedName name="QB_COLUMN_2929" localSheetId="8" hidden="1">'LWVCEF-Stmt. of Act. by Month'!$X$1</definedName>
    <definedName name="QB_COLUMN_2929" localSheetId="3" hidden="1">'LWVC-Stmt of Activities by Mth'!$X$1</definedName>
    <definedName name="QB_COLUMN_2929" localSheetId="4" hidden="1">'LWVC-Stmt of Fin. Postn. by Mth'!$Z$1</definedName>
    <definedName name="QB_COLUMN_2930" localSheetId="8" hidden="1">'LWVCEF-Stmt. of Act. by Month'!$AF$1</definedName>
    <definedName name="QB_COLUMN_2930" localSheetId="3" hidden="1">'LWVC-Stmt of Activities by Mth'!$AF$1</definedName>
    <definedName name="QB_COLUMN_312200" localSheetId="2" hidden="1">'LWVC-Stmt of Act. by Class'!#REF!</definedName>
    <definedName name="QB_COLUMN_312201" localSheetId="2" hidden="1">'LWVC-Stmt of Act. by Class'!#REF!</definedName>
    <definedName name="QB_COLUMN_32101" localSheetId="2" hidden="1">'LWVC-Stmt of Act. by Class'!#REF!</definedName>
    <definedName name="QB_COLUMN_423011" localSheetId="2" hidden="1">'LWVC-Stmt of Act. by Class'!#REF!</definedName>
    <definedName name="QB_COLUMN_452111" localSheetId="2" hidden="1">'LWVC-Stmt of Act. by Class'!#REF!</definedName>
    <definedName name="QB_COLUMN_453200" localSheetId="2" hidden="1">'LWVC-Stmt of Act. by Class'!#REF!</definedName>
    <definedName name="QB_COLUMN_453201" localSheetId="2" hidden="1">'LWVC-Stmt of Act. by Class'!#REF!</definedName>
    <definedName name="QB_COLUMN_532200" localSheetId="2" hidden="1">'LWVC-Stmt of Act. by Class'!#REF!</definedName>
    <definedName name="QB_COLUMN_532201" localSheetId="2" hidden="1">'LWVC-Stmt of Act. by Class'!#REF!</definedName>
    <definedName name="QB_COLUMN_542200" localSheetId="2" hidden="1">'LWVC-Stmt of Act. by Class'!#REF!</definedName>
    <definedName name="QB_COLUMN_542201" localSheetId="2" hidden="1">'LWVC-Stmt of Act. by Class'!#REF!</definedName>
    <definedName name="QB_COLUMN_552300" localSheetId="2" hidden="1">'LWVC-Stmt of Act. by Class'!#REF!</definedName>
    <definedName name="QB_COLUMN_552301" localSheetId="2" hidden="1">'LWVC-Stmt of Act. by Class'!#REF!</definedName>
    <definedName name="QB_COLUMN_553200" localSheetId="2" hidden="1">'LWVC-Stmt of Act. by Class'!#REF!</definedName>
    <definedName name="QB_COLUMN_553201" localSheetId="2" hidden="1">'LWVC-Stmt of Act. by Class'!#REF!</definedName>
    <definedName name="QB_COLUMN_563101" localSheetId="2" hidden="1">'LWVC-Stmt of Act. by Class'!#REF!</definedName>
    <definedName name="QB_COLUMN_573101" localSheetId="2" hidden="1">'LWVC-Stmt of Act. by Class'!#REF!</definedName>
    <definedName name="QB_COLUMN_592019" localSheetId="2" hidden="1">'LWVC-Stmt of Act. by Class'!#REF!</definedName>
    <definedName name="QB_COLUMN_59202" localSheetId="2" hidden="1">'LWVC-Stmt of Act. by Class'!#REF!</definedName>
    <definedName name="QB_COLUMN_592021" localSheetId="2" hidden="1">'LWVC-Stmt of Act. by Class'!#REF!</definedName>
    <definedName name="QB_COLUMN_592022" localSheetId="2" hidden="1">'LWVC-Stmt of Act. by Class'!#REF!</definedName>
    <definedName name="QB_COLUMN_592024" localSheetId="2" hidden="1">'LWVC-Stmt of Act. by Class'!#REF!</definedName>
    <definedName name="QB_COLUMN_59203" localSheetId="2" hidden="1">'LWVC-Stmt of Act. by Class'!#REF!</definedName>
    <definedName name="QB_COLUMN_592031" localSheetId="2" hidden="1">'LWVC-Stmt of Act. by Class'!#REF!</definedName>
    <definedName name="QB_COLUMN_592053" localSheetId="2" hidden="1">'LWVC-Stmt of Act. by Class'!#REF!</definedName>
    <definedName name="QB_COLUMN_592054" localSheetId="2" hidden="1">'LWVC-Stmt of Act. by Class'!#REF!</definedName>
    <definedName name="QB_COLUMN_592055" localSheetId="2" hidden="1">'LWVC-Stmt of Act. by Class'!#REF!</definedName>
    <definedName name="QB_COLUMN_592061" localSheetId="2" hidden="1">'LWVC-Stmt of Act. by Class'!#REF!</definedName>
    <definedName name="QB_COLUMN_592064" localSheetId="2" hidden="1">'LWVC-Stmt of Act. by Class'!#REF!</definedName>
    <definedName name="QB_COLUMN_592065" localSheetId="2" hidden="1">'LWVC-Stmt of Act. by Class'!#REF!</definedName>
    <definedName name="QB_COLUMN_592067" localSheetId="2" hidden="1">'LWVC-Stmt of Act. by Class'!#REF!</definedName>
    <definedName name="QB_COLUMN_592068" localSheetId="2" hidden="1">'LWVC-Stmt of Act. by Class'!#REF!</definedName>
    <definedName name="QB_COLUMN_592072" localSheetId="2" hidden="1">'LWVC-Stmt of Act. by Class'!#REF!</definedName>
    <definedName name="QB_COLUMN_59300" localSheetId="2" hidden="1">'LWVC-Stmt of Act. by Class'!#REF!</definedName>
    <definedName name="QB_COLUMN_593019" localSheetId="2" hidden="1">'LWVC-Stmt of Act. by Class'!#REF!</definedName>
    <definedName name="QB_COLUMN_59302" localSheetId="2" hidden="1">'LWVC-Stmt of Act. by Class'!#REF!</definedName>
    <definedName name="QB_COLUMN_593021" localSheetId="2" hidden="1">'LWVC-Stmt of Act. by Class'!#REF!</definedName>
    <definedName name="QB_COLUMN_593045" localSheetId="2" hidden="1">'LWVC-Stmt of Act. by Class'!#REF!</definedName>
    <definedName name="QB_COLUMN_593055" localSheetId="2" hidden="1">'LWVC-Stmt of Act. by Class'!#REF!</definedName>
    <definedName name="QB_COLUMN_593056" localSheetId="2" hidden="1">'LWVC-Stmt of Act. by Class'!#REF!</definedName>
    <definedName name="QB_COLUMN_593057" localSheetId="2" hidden="1">'LWVC-Stmt of Act. by Class'!#REF!</definedName>
    <definedName name="QB_COLUMN_612200" localSheetId="2" hidden="1">'LWVC-Stmt of Act. by Class'!#REF!</definedName>
    <definedName name="QB_COLUMN_612201" localSheetId="2" hidden="1">'LWVC-Stmt of Act. by Class'!#REF!</definedName>
    <definedName name="QB_COLUMN_642300" localSheetId="2" hidden="1">'LWVC-Stmt of Act. by Class'!#REF!</definedName>
    <definedName name="QB_COLUMN_642301" localSheetId="2" hidden="1">'LWVC-Stmt of Act. by Class'!#REF!</definedName>
    <definedName name="QB_COLUMN_652300" localSheetId="2" hidden="1">'LWVC-Stmt of Act. by Class'!#REF!</definedName>
    <definedName name="QB_COLUMN_652301" localSheetId="2" hidden="1">'LWVC-Stmt of Act. by Class'!#REF!</definedName>
    <definedName name="QB_COLUMN_672300" localSheetId="2" hidden="1">'LWVC-Stmt of Act. by Class'!#REF!</definedName>
    <definedName name="QB_COLUMN_672301" localSheetId="2" hidden="1">'LWVC-Stmt of Act. by Class'!#REF!</definedName>
    <definedName name="QB_COLUMN_682300" localSheetId="2" hidden="1">'LWVC-Stmt of Act. by Class'!#REF!</definedName>
    <definedName name="QB_COLUMN_682301" localSheetId="2" hidden="1">'LWVC-Stmt of Act. by Class'!#REF!</definedName>
    <definedName name="QB_COLUMN_762119" localSheetId="2" hidden="1">'LWVC-Stmt of Act. by Class'!#REF!</definedName>
    <definedName name="QB_COLUMN_76212" localSheetId="2" hidden="1">'LWVC-Stmt of Act. by Class'!#REF!</definedName>
    <definedName name="QB_COLUMN_762121" localSheetId="2" hidden="1">'LWVC-Stmt of Act. by Class'!#REF!</definedName>
    <definedName name="QB_COLUMN_762122" localSheetId="2" hidden="1">'LWVC-Stmt of Act. by Class'!#REF!</definedName>
    <definedName name="QB_COLUMN_762124" localSheetId="2" hidden="1">'LWVC-Stmt of Act. by Class'!#REF!</definedName>
    <definedName name="QB_COLUMN_76213" localSheetId="2" hidden="1">'LWVC-Stmt of Act. by Class'!#REF!</definedName>
    <definedName name="QB_COLUMN_762131" localSheetId="2" hidden="1">'LWVC-Stmt of Act. by Class'!#REF!</definedName>
    <definedName name="QB_COLUMN_762153" localSheetId="2" hidden="1">'LWVC-Stmt of Act. by Class'!#REF!</definedName>
    <definedName name="QB_COLUMN_762154" localSheetId="2" hidden="1">'LWVC-Stmt of Act. by Class'!#REF!</definedName>
    <definedName name="QB_COLUMN_762155" localSheetId="2" hidden="1">'LWVC-Stmt of Act. by Class'!#REF!</definedName>
    <definedName name="QB_COLUMN_762161" localSheetId="2" hidden="1">'LWVC-Stmt of Act. by Class'!#REF!</definedName>
    <definedName name="QB_COLUMN_762164" localSheetId="2" hidden="1">'LWVC-Stmt of Act. by Class'!#REF!</definedName>
    <definedName name="QB_COLUMN_762165" localSheetId="2" hidden="1">'LWVC-Stmt of Act. by Class'!#REF!</definedName>
    <definedName name="QB_COLUMN_762167" localSheetId="2" hidden="1">'LWVC-Stmt of Act. by Class'!#REF!</definedName>
    <definedName name="QB_COLUMN_762168" localSheetId="2" hidden="1">'LWVC-Stmt of Act. by Class'!#REF!</definedName>
    <definedName name="QB_COLUMN_762172" localSheetId="2" hidden="1">'LWVC-Stmt of Act. by Class'!#REF!</definedName>
    <definedName name="QB_COLUMN_76310" localSheetId="2" hidden="1">'LWVC-Stmt of Act. by Class'!#REF!</definedName>
    <definedName name="QB_COLUMN_763119" localSheetId="2" hidden="1">'LWVC-Stmt of Act. by Class'!#REF!</definedName>
    <definedName name="QB_COLUMN_76312" localSheetId="2" hidden="1">'LWVC-Stmt of Act. by Class'!#REF!</definedName>
    <definedName name="QB_COLUMN_763121" localSheetId="2" hidden="1">'LWVC-Stmt of Act. by Class'!#REF!</definedName>
    <definedName name="QB_COLUMN_763145" localSheetId="2" hidden="1">'LWVC-Stmt of Act. by Class'!#REF!</definedName>
    <definedName name="QB_COLUMN_763155" localSheetId="2" hidden="1">'LWVC-Stmt of Act. by Class'!#REF!</definedName>
    <definedName name="QB_COLUMN_763156" localSheetId="2" hidden="1">'LWVC-Stmt of Act. by Class'!#REF!</definedName>
    <definedName name="QB_COLUMN_763157" localSheetId="2" hidden="1">'LWVC-Stmt of Act. by Class'!#REF!</definedName>
    <definedName name="QB_DATA_0" localSheetId="10" hidden="1">'FASB117 '!$6:$6,'FASB117 '!$7:$7,'FASB117 '!$9:$9,'FASB117 '!$11:$11,'FASB117 '!$12:$12,'FASB117 '!$13:$13,'FASB117 '!$16:$16,'FASB117 '!$17:$17,'FASB117 '!$21:$21,'FASB117 '!$22:$22,'FASB117 '!$23:$23,'FASB117 '!$25:$25,'FASB117 '!$27:$27,'FASB117 '!$28:$28,'FASB117 '!$31:$31,'FASB117 '!$32:$32</definedName>
    <definedName name="QB_DATA_0" localSheetId="9" hidden="1">'LWVCEF-Stmt of Fin. Pos. by mth'!$6:$6,'LWVCEF-Stmt of Fin. Pos. by mth'!$8:$8,'LWVCEF-Stmt of Fin. Pos. by mth'!$9:$9,'LWVCEF-Stmt of Fin. Pos. by mth'!$10:$10,'LWVCEF-Stmt of Fin. Pos. by mth'!$13:$13,'LWVCEF-Stmt of Fin. Pos. by mth'!$16:$16,'LWVCEF-Stmt of Fin. Pos. by mth'!$18:$18,'LWVCEF-Stmt of Fin. Pos. by mth'!$19:$19,'LWVCEF-Stmt of Fin. Pos. by mth'!$22:$22,'LWVCEF-Stmt of Fin. Pos. by mth'!$23:$23,'LWVCEF-Stmt of Fin. Pos. by mth'!$27:$27,'LWVCEF-Stmt of Fin. Pos. by mth'!$28:$28,'LWVCEF-Stmt of Fin. Pos. by mth'!$29:$29,'LWVCEF-Stmt of Fin. Pos. by mth'!$36:$36,'LWVCEF-Stmt of Fin. Pos. by mth'!$40:$40,'LWVCEF-Stmt of Fin. Pos. by mth'!$41:$41</definedName>
    <definedName name="QB_DATA_0" localSheetId="8" hidden="1">'LWVCEF-Stmt. of Act. by Month'!$6:$6,'LWVCEF-Stmt. of Act. by Month'!$8:$8,'LWVCEF-Stmt. of Act. by Month'!$9:$9,'LWVCEF-Stmt. of Act. by Month'!$10:$10,'LWVCEF-Stmt. of Act. by Month'!$11:$11,'LWVCEF-Stmt. of Act. by Month'!$12:$12,'LWVCEF-Stmt. of Act. by Month'!$13:$13,'LWVCEF-Stmt. of Act. by Month'!$14:$14,'LWVCEF-Stmt. of Act. by Month'!$17:$17,'LWVCEF-Stmt. of Act. by Month'!$18:$18,'LWVCEF-Stmt. of Act. by Month'!$19:$19,'LWVCEF-Stmt. of Act. by Month'!$20:$20,'LWVCEF-Stmt. of Act. by Month'!$22:$22,'LWVCEF-Stmt. of Act. by Month'!$23:$23,'LWVCEF-Stmt. of Act. by Month'!$24:$24,'LWVCEF-Stmt. of Act. by Month'!$27:$27</definedName>
    <definedName name="QB_DATA_0" localSheetId="2" hidden="1">'LWVC-Stmt of Act. by Class'!$7:$7,'LWVC-Stmt of Act. by Class'!$8:$8,'LWVC-Stmt of Act. by Class'!$9:$9,'LWVC-Stmt of Act. by Class'!$13:$13,'LWVC-Stmt of Act. by Class'!$14:$14,'LWVC-Stmt of Act. by Class'!$15:$15,'LWVC-Stmt of Act. by Class'!$17:$17,'LWVC-Stmt of Act. by Class'!$18:$18,'LWVC-Stmt of Act. by Class'!$19:$19,'LWVC-Stmt of Act. by Class'!$22:$22,'LWVC-Stmt of Act. by Class'!$23:$23,'LWVC-Stmt of Act. by Class'!$24:$24,'LWVC-Stmt of Act. by Class'!$25:$25,'LWVC-Stmt of Act. by Class'!$27:$27,'LWVC-Stmt of Act. by Class'!$29:$29,'LWVC-Stmt of Act. by Class'!$30:$30</definedName>
    <definedName name="QB_DATA_0" localSheetId="3" hidden="1">'LWVC-Stmt of Activities by Mth'!$5:$5,'LWVC-Stmt of Activities by Mth'!$6:$6,'LWVC-Stmt of Activities by Mth'!$7:$7,'LWVC-Stmt of Activities by Mth'!$10:$10,'LWVC-Stmt of Activities by Mth'!$11:$11,'LWVC-Stmt of Activities by Mth'!$12:$12,'LWVC-Stmt of Activities by Mth'!$13:$13,'LWVC-Stmt of Activities by Mth'!$14:$14,'LWVC-Stmt of Activities by Mth'!$15:$15,'LWVC-Stmt of Activities by Mth'!$18:$18,'LWVC-Stmt of Activities by Mth'!$19:$19,'LWVC-Stmt of Activities by Mth'!$20:$20,'LWVC-Stmt of Activities by Mth'!$21:$21,'LWVC-Stmt of Activities by Mth'!$22:$22,'LWVC-Stmt of Activities by Mth'!$23:$23,'LWVC-Stmt of Activities by Mth'!$25:$25</definedName>
    <definedName name="QB_DATA_0" localSheetId="4" hidden="1">'LWVC-Stmt of Fin. Postn. by Mth'!$6:$6,'LWVC-Stmt of Fin. Postn. by Mth'!$7:$7,'LWVC-Stmt of Fin. Postn. by Mth'!$11:$11,'LWVC-Stmt of Fin. Postn. by Mth'!$14:$14,'LWVC-Stmt of Fin. Postn. by Mth'!$15:$15,'LWVC-Stmt of Fin. Postn. by Mth'!$16:$16,'LWVC-Stmt of Fin. Postn. by Mth'!$18:$18,'LWVC-Stmt of Fin. Postn. by Mth'!$19:$19,'LWVC-Stmt of Fin. Postn. by Mth'!$21:$21,'LWVC-Stmt of Fin. Postn. by Mth'!$22:$22,'LWVC-Stmt of Fin. Postn. by Mth'!$26:$26,'LWVC-Stmt of Fin. Postn. by Mth'!$27:$27,'LWVC-Stmt of Fin. Postn. by Mth'!$28:$28,'LWVC-Stmt of Fin. Postn. by Mth'!$31:$31,'LWVC-Stmt of Fin. Postn. by Mth'!$38:$38,'LWVC-Stmt of Fin. Postn. by Mth'!$43:$43</definedName>
    <definedName name="QB_DATA_1" localSheetId="10" hidden="1">'FASB117 '!$36:$36,'FASB117 '!$43:$43,'FASB117 '!$44:$44,'FASB117 '!$45:$45,'FASB117 '!$47:$47,'FASB117 '!$48:$48,'FASB117 '!$49:$49,'FASB117 '!$50:$50,'FASB117 '!$51:$51,'FASB117 '!#REF!,'FASB117 '!#REF!,'FASB117 '!#REF!,'FASB117 '!#REF!,'FASB117 '!#REF!,'FASB117 '!#REF!,'FASB117 '!#REF!</definedName>
    <definedName name="QB_DATA_1" localSheetId="9" hidden="1">'LWVCEF-Stmt of Fin. Pos. by mth'!$44:$44,'LWVCEF-Stmt of Fin. Pos. by mth'!$45:$45,'LWVCEF-Stmt of Fin. Pos. by mth'!$46:$46,'LWVCEF-Stmt of Fin. Pos. by mth'!$47:$47,'LWVCEF-Stmt of Fin. Pos. by mth'!$48:$48,'LWVCEF-Stmt of Fin. Pos. by mth'!$49:$49,'LWVCEF-Stmt of Fin. Pos. by mth'!$50:$50,'LWVCEF-Stmt of Fin. Pos. by mth'!$51:$51,'LWVCEF-Stmt of Fin. Pos. by mth'!$52:$52,'LWVCEF-Stmt of Fin. Pos. by mth'!$53:$53,'LWVCEF-Stmt of Fin. Pos. by mth'!$54:$54,'LWVCEF-Stmt of Fin. Pos. by mth'!$55:$55,'LWVCEF-Stmt of Fin. Pos. by mth'!$56:$56,'LWVCEF-Stmt of Fin. Pos. by mth'!$57:$57,'LWVCEF-Stmt of Fin. Pos. by mth'!$58:$58,'LWVCEF-Stmt of Fin. Pos. by mth'!$59:$59</definedName>
    <definedName name="QB_DATA_1" localSheetId="8" hidden="1">'LWVCEF-Stmt. of Act. by Month'!$31:$31,'LWVCEF-Stmt. of Act. by Month'!$32:$32,'LWVCEF-Stmt. of Act. by Month'!$33:$33,'LWVCEF-Stmt. of Act. by Month'!$34:$34,'LWVCEF-Stmt. of Act. by Month'!$35:$35,'LWVCEF-Stmt. of Act. by Month'!$36:$36,'LWVCEF-Stmt. of Act. by Month'!$37:$37,'LWVCEF-Stmt. of Act. by Month'!$38:$38,'LWVCEF-Stmt. of Act. by Month'!$39:$39,'LWVCEF-Stmt. of Act. by Month'!$40:$40,'LWVCEF-Stmt. of Act. by Month'!$41:$41,'LWVCEF-Stmt. of Act. by Month'!$42:$42,'LWVCEF-Stmt. of Act. by Month'!$43:$43,'LWVCEF-Stmt. of Act. by Month'!$44:$44,'LWVCEF-Stmt. of Act. by Month'!#REF!</definedName>
    <definedName name="QB_DATA_1" localSheetId="2" hidden="1">'LWVC-Stmt of Act. by Class'!$31:$31,'LWVC-Stmt of Act. by Class'!#REF!,'LWVC-Stmt of Act. by Class'!$33:$33,'LWVC-Stmt of Act. by Class'!$34:$34,'LWVC-Stmt of Act. by Class'!$36:$36,'LWVC-Stmt of Act. by Class'!$39:$39,'LWVC-Stmt of Act. by Class'!$40:$40,'LWVC-Stmt of Act. by Class'!$41:$41,'LWVC-Stmt of Act. by Class'!$42:$42,'LWVC-Stmt of Act. by Class'!$43:$43,'LWVC-Stmt of Act. by Class'!$44:$44,'LWVC-Stmt of Act. by Class'!$45:$45,'LWVC-Stmt of Act. by Class'!$46:$46,'LWVC-Stmt of Act. by Class'!$47:$47,'LWVC-Stmt of Act. by Class'!$48:$48,'LWVC-Stmt of Act. by Class'!$49:$49</definedName>
    <definedName name="QB_DATA_1" localSheetId="3" hidden="1">'LWVC-Stmt of Activities by Mth'!$26:$26,'LWVC-Stmt of Activities by Mth'!$27:$27,'LWVC-Stmt of Activities by Mth'!$28:$28,'LWVC-Stmt of Activities by Mth'!$31:$31,'LWVC-Stmt of Activities by Mth'!$32:$32,'LWVC-Stmt of Activities by Mth'!$33:$33,'LWVC-Stmt of Activities by Mth'!$35:$35,'LWVC-Stmt of Activities by Mth'!$38:$38,'LWVC-Stmt of Activities by Mth'!$39:$39,'LWVC-Stmt of Activities by Mth'!$40:$40,'LWVC-Stmt of Activities by Mth'!$41:$41,'LWVC-Stmt of Activities by Mth'!$42:$42,'LWVC-Stmt of Activities by Mth'!$43:$43,'LWVC-Stmt of Activities by Mth'!$44:$44,'LWVC-Stmt of Activities by Mth'!$45:$45,'LWVC-Stmt of Activities by Mth'!$46:$46</definedName>
    <definedName name="QB_DATA_1" localSheetId="4" hidden="1">'LWVC-Stmt of Fin. Postn. by Mth'!$44:$44,'LWVC-Stmt of Fin. Postn. by Mth'!$45:$45,'LWVC-Stmt of Fin. Postn. by Mth'!$47:$47,'LWVC-Stmt of Fin. Postn. by Mth'!$52:$52,'LWVC-Stmt of Fin. Postn. by Mth'!$56:$56,'LWVC-Stmt of Fin. Postn. by Mth'!$57:$57,'LWVC-Stmt of Fin. Postn. by Mth'!$59:$59,'LWVC-Stmt of Fin. Postn. by Mth'!$60:$60,'LWVC-Stmt of Fin. Postn. by Mth'!$61:$61,'LWVC-Stmt of Fin. Postn. by Mth'!$62:$62,'LWVC-Stmt of Fin. Postn. by Mth'!$66:$66,'LWVC-Stmt of Fin. Postn. by Mth'!$70:$70,'LWVC-Stmt of Fin. Postn. by Mth'!$72:$72,'LWVC-Stmt of Fin. Postn. by Mth'!$73:$73,'LWVC-Stmt of Fin. Postn. by Mth'!$74:$74,'LWVC-Stmt of Fin. Postn. by Mth'!$75:$75</definedName>
    <definedName name="QB_DATA_2" localSheetId="10" hidden="1">'FASB117 '!#REF!,'FASB117 '!#REF!</definedName>
    <definedName name="QB_DATA_2" localSheetId="9" hidden="1">'LWVCEF-Stmt of Fin. Pos. by mth'!$61:$61,'LWVCEF-Stmt of Fin. Pos. by mth'!$62:$62,'LWVCEF-Stmt of Fin. Pos. by mth'!$64:$64,'LWVCEF-Stmt of Fin. Pos. by mth'!$65:$65,'LWVCEF-Stmt of Fin. Pos. by mth'!$66:$66,'LWVCEF-Stmt of Fin. Pos. by mth'!$67:$67,'LWVCEF-Stmt of Fin. Pos. by mth'!$68:$68,'LWVCEF-Stmt of Fin. Pos. by mth'!$69:$69,'LWVCEF-Stmt of Fin. Pos. by mth'!$70:$70,'LWVCEF-Stmt of Fin. Pos. by mth'!$71:$71,'LWVCEF-Stmt of Fin. Pos. by mth'!$72:$72,'LWVCEF-Stmt of Fin. Pos. by mth'!$73:$73,'LWVCEF-Stmt of Fin. Pos. by mth'!$74:$74,'LWVCEF-Stmt of Fin. Pos. by mth'!$75:$75,'LWVCEF-Stmt of Fin. Pos. by mth'!$76:$76,'LWVCEF-Stmt of Fin. Pos. by mth'!$77:$77</definedName>
    <definedName name="QB_DATA_2" localSheetId="2" hidden="1">'LWVC-Stmt of Act. by Class'!$50:$50,'LWVC-Stmt of Act. by Class'!$51:$51,'LWVC-Stmt of Act. by Class'!$52:$52,'LWVC-Stmt of Act. by Class'!$53:$53,'LWVC-Stmt of Act. by Class'!$54:$54,'LWVC-Stmt of Act. by Class'!$55:$55,'LWVC-Stmt of Act. by Class'!$56:$56,'LWVC-Stmt of Act. by Class'!#REF!</definedName>
    <definedName name="QB_DATA_2" localSheetId="3" hidden="1">'LWVC-Stmt of Activities by Mth'!$47:$47,'LWVC-Stmt of Activities by Mth'!$48:$48,'LWVC-Stmt of Activities by Mth'!$49:$49,'LWVC-Stmt of Activities by Mth'!$50:$50,'LWVC-Stmt of Activities by Mth'!$51:$51,'LWVC-Stmt of Activities by Mth'!$52:$52,'LWVC-Stmt of Activities by Mth'!$53:$53,'LWVC-Stmt of Activities by Mth'!$54:$54,'LWVC-Stmt of Activities by Mth'!#REF!</definedName>
    <definedName name="QB_DATA_2" localSheetId="4" hidden="1">'LWVC-Stmt of Fin. Postn. by Mth'!$78:$78,'LWVC-Stmt of Fin. Postn. by Mth'!$80:$80</definedName>
    <definedName name="QB_DATA_3" localSheetId="9" hidden="1">'LWVCEF-Stmt of Fin. Pos. by mth'!$78:$78,'LWVCEF-Stmt of Fin. Pos. by mth'!$80:$80,'LWVCEF-Stmt of Fin. Pos. by mth'!#REF!,'LWVCEF-Stmt of Fin. Pos. by mth'!$81:$81,'LWVCEF-Stmt of Fin. Pos. by mth'!$86:$86,'LWVCEF-Stmt of Fin. Pos. by mth'!$88:$88,'LWVCEF-Stmt of Fin. Pos. by mth'!$89:$89,'LWVCEF-Stmt of Fin. Pos. by mth'!$92:$92,'LWVCEF-Stmt of Fin. Pos. by mth'!$94:$94,'LWVCEF-Stmt of Fin. Pos. by mth'!$97:$97,'LWVCEF-Stmt of Fin. Pos. by mth'!$98:$98,'LWVCEF-Stmt of Fin. Pos. by mth'!$99:$99,'LWVCEF-Stmt of Fin. Pos. by mth'!$101:$101,'LWVCEF-Stmt of Fin. Pos. by mth'!#REF!</definedName>
    <definedName name="QB_FORMULA_0" localSheetId="10" hidden="1">'FASB117 '!$H$8,'FASB117 '!$H$19,'FASB117 '!$H$26,'FASB117 '!$H$33,'FASB117 '!$H$34,'FASB117 '!$H$37,'FASB117 '!#REF!,'FASB117 '!#REF!,'FASB117 '!#REF!,'FASB117 '!#REF!</definedName>
    <definedName name="QB_FORMULA_0" localSheetId="9" hidden="1">'LWVCEF-Stmt of Fin. Pos. by mth'!$H$7,'LWVCEF-Stmt of Fin. Pos. by mth'!$J$7,'LWVCEF-Stmt of Fin. Pos. by mth'!$L$7,'LWVCEF-Stmt of Fin. Pos. by mth'!$N$7,'LWVCEF-Stmt of Fin. Pos. by mth'!$P$7,'LWVCEF-Stmt of Fin. Pos. by mth'!$R$7,'LWVCEF-Stmt of Fin. Pos. by mth'!$T$7,'LWVCEF-Stmt of Fin. Pos. by mth'!$V$7,'LWVCEF-Stmt of Fin. Pos. by mth'!$X$7,'LWVCEF-Stmt of Fin. Pos. by mth'!$Z$7,'LWVCEF-Stmt of Fin. Pos. by mth'!$AB$7,'LWVCEF-Stmt of Fin. Pos. by mth'!$AD$7,'LWVCEF-Stmt of Fin. Pos. by mth'!$H$11,'LWVCEF-Stmt of Fin. Pos. by mth'!$J$11,'LWVCEF-Stmt of Fin. Pos. by mth'!$L$11,'LWVCEF-Stmt of Fin. Pos. by mth'!$N$11</definedName>
    <definedName name="QB_FORMULA_0" localSheetId="8" hidden="1">'LWVCEF-Stmt. of Act. by Month'!$AF$6,'LWVCEF-Stmt. of Act. by Month'!$H$7,'LWVCEF-Stmt. of Act. by Month'!$J$7,'LWVCEF-Stmt. of Act. by Month'!$L$7,'LWVCEF-Stmt. of Act. by Month'!$N$7,'LWVCEF-Stmt. of Act. by Month'!$P$7,'LWVCEF-Stmt. of Act. by Month'!$R$7,'LWVCEF-Stmt. of Act. by Month'!$T$7,'LWVCEF-Stmt. of Act. by Month'!$V$7,'LWVCEF-Stmt. of Act. by Month'!$X$7,'LWVCEF-Stmt. of Act. by Month'!$Z$7,'LWVCEF-Stmt. of Act. by Month'!$AB$7,'LWVCEF-Stmt. of Act. by Month'!$AD$7,'LWVCEF-Stmt. of Act. by Month'!$AF$7,'LWVCEF-Stmt. of Act. by Month'!$AF$8,'LWVCEF-Stmt. of Act. by Month'!$AF$9</definedName>
    <definedName name="QB_FORMULA_0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0" localSheetId="3" hidden="1">'LWVC-Stmt of Activities by Mth'!$AF$5,'LWVC-Stmt of Activities by Mth'!$AF$6,'LWVC-Stmt of Activities by Mth'!$AF$7,'LWVC-Stmt of Activities by Mth'!$H$8,'LWVC-Stmt of Activities by Mth'!$J$8,'LWVC-Stmt of Activities by Mth'!$L$8,'LWVC-Stmt of Activities by Mth'!$N$8,'LWVC-Stmt of Activities by Mth'!$P$8,'LWVC-Stmt of Activities by Mth'!$R$8,'LWVC-Stmt of Activities by Mth'!$T$8,'LWVC-Stmt of Activities by Mth'!$V$8,'LWVC-Stmt of Activities by Mth'!$X$8,'LWVC-Stmt of Activities by Mth'!$Z$8,'LWVC-Stmt of Activities by Mth'!$AB$8,'LWVC-Stmt of Activities by Mth'!$AD$8,'LWVC-Stmt of Activities by Mth'!$AF$8</definedName>
    <definedName name="QB_FORMULA_0" localSheetId="4" hidden="1">'LWVC-Stmt of Fin. Postn. by Mth'!$H$8,'LWVC-Stmt of Fin. Postn. by Mth'!$J$8,'LWVC-Stmt of Fin. Postn. by Mth'!$L$8,'LWVC-Stmt of Fin. Postn. by Mth'!$N$8,'LWVC-Stmt of Fin. Postn. by Mth'!$P$8,'LWVC-Stmt of Fin. Postn. by Mth'!$R$8,'LWVC-Stmt of Fin. Postn. by Mth'!$T$8,'LWVC-Stmt of Fin. Postn. by Mth'!$V$8,'LWVC-Stmt of Fin. Postn. by Mth'!$X$8,'LWVC-Stmt of Fin. Postn. by Mth'!$Z$8,'LWVC-Stmt of Fin. Postn. by Mth'!$AB$8,'LWVC-Stmt of Fin. Postn. by Mth'!$AD$8,'LWVC-Stmt of Fin. Postn. by Mth'!$H$9,'LWVC-Stmt of Fin. Postn. by Mth'!$J$9,'LWVC-Stmt of Fin. Postn. by Mth'!$L$9,'LWVC-Stmt of Fin. Postn. by Mth'!$N$9</definedName>
    <definedName name="QB_FORMULA_1" localSheetId="9" hidden="1">'LWVCEF-Stmt of Fin. Pos. by mth'!$P$11,'LWVCEF-Stmt of Fin. Pos. by mth'!$R$11,'LWVCEF-Stmt of Fin. Pos. by mth'!$T$11,'LWVCEF-Stmt of Fin. Pos. by mth'!$V$11,'LWVCEF-Stmt of Fin. Pos. by mth'!$X$11,'LWVCEF-Stmt of Fin. Pos. by mth'!$Z$11,'LWVCEF-Stmt of Fin. Pos. by mth'!$AB$11,'LWVCEF-Stmt of Fin. Pos. by mth'!$AD$11,'LWVCEF-Stmt of Fin. Pos. by mth'!$H$14,'LWVCEF-Stmt of Fin. Pos. by mth'!$J$14,'LWVCEF-Stmt of Fin. Pos. by mth'!$L$14,'LWVCEF-Stmt of Fin. Pos. by mth'!$N$14,'LWVCEF-Stmt of Fin. Pos. by mth'!$P$14,'LWVCEF-Stmt of Fin. Pos. by mth'!$R$14,'LWVCEF-Stmt of Fin. Pos. by mth'!$T$14,'LWVCEF-Stmt of Fin. Pos. by mth'!$V$14</definedName>
    <definedName name="QB_FORMULA_1" localSheetId="8" hidden="1">'LWVCEF-Stmt. of Act. by Month'!$AF$10,'LWVCEF-Stmt. of Act. by Month'!$AF$11,'LWVCEF-Stmt. of Act. by Month'!$AF$12,'LWVCEF-Stmt. of Act. by Month'!$AF$13,'LWVCEF-Stmt. of Act. by Month'!$AF$14,'LWVCEF-Stmt. of Act. by Month'!$H$15,'LWVCEF-Stmt. of Act. by Month'!$J$15,'LWVCEF-Stmt. of Act. by Month'!$L$15,'LWVCEF-Stmt. of Act. by Month'!$N$15,'LWVCEF-Stmt. of Act. by Month'!$P$15,'LWVCEF-Stmt. of Act. by Month'!$R$15,'LWVCEF-Stmt. of Act. by Month'!$T$15,'LWVCEF-Stmt. of Act. by Month'!$V$15,'LWVCEF-Stmt. of Act. by Month'!$X$15,'LWVCEF-Stmt. of Act. by Month'!$Z$15,'LWVCEF-Stmt. of Act. by Month'!$AB$15</definedName>
    <definedName name="QB_FORMULA_1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1" localSheetId="3" hidden="1">'LWVC-Stmt of Activities by Mth'!$AF$10,'LWVC-Stmt of Activities by Mth'!$AF$11,'LWVC-Stmt of Activities by Mth'!$AF$12,'LWVC-Stmt of Activities by Mth'!$AF$13,'LWVC-Stmt of Activities by Mth'!$AF$14,'LWVC-Stmt of Activities by Mth'!$AF$15,'LWVC-Stmt of Activities by Mth'!$H$16,'LWVC-Stmt of Activities by Mth'!$J$16,'LWVC-Stmt of Activities by Mth'!$L$16,'LWVC-Stmt of Activities by Mth'!$N$16,'LWVC-Stmt of Activities by Mth'!$P$16,'LWVC-Stmt of Activities by Mth'!$R$16,'LWVC-Stmt of Activities by Mth'!$T$16,'LWVC-Stmt of Activities by Mth'!$V$16,'LWVC-Stmt of Activities by Mth'!$X$16,'LWVC-Stmt of Activities by Mth'!$Z$16</definedName>
    <definedName name="QB_FORMULA_1" localSheetId="4" hidden="1">'LWVC-Stmt of Fin. Postn. by Mth'!$P$9,'LWVC-Stmt of Fin. Postn. by Mth'!$R$9,'LWVC-Stmt of Fin. Postn. by Mth'!$T$9,'LWVC-Stmt of Fin. Postn. by Mth'!$V$9,'LWVC-Stmt of Fin. Postn. by Mth'!$X$9,'LWVC-Stmt of Fin. Postn. by Mth'!$Z$9,'LWVC-Stmt of Fin. Postn. by Mth'!$AB$9,'LWVC-Stmt of Fin. Postn. by Mth'!$AD$9,'LWVC-Stmt of Fin. Postn. by Mth'!$H$12,'LWVC-Stmt of Fin. Postn. by Mth'!$J$12,'LWVC-Stmt of Fin. Postn. by Mth'!$L$12,'LWVC-Stmt of Fin. Postn. by Mth'!$N$12,'LWVC-Stmt of Fin. Postn. by Mth'!$P$12,'LWVC-Stmt of Fin. Postn. by Mth'!$R$12,'LWVC-Stmt of Fin. Postn. by Mth'!$T$12,'LWVC-Stmt of Fin. Postn. by Mth'!$V$12</definedName>
    <definedName name="QB_FORMULA_10" localSheetId="9" hidden="1">'LWVCEF-Stmt of Fin. Pos. by mth'!$P$83,'LWVCEF-Stmt of Fin. Pos. by mth'!$R$83,'LWVCEF-Stmt of Fin. Pos. by mth'!$T$83,'LWVCEF-Stmt of Fin. Pos. by mth'!$V$83,'LWVCEF-Stmt of Fin. Pos. by mth'!$X$83,'LWVCEF-Stmt of Fin. Pos. by mth'!$Z$83,'LWVCEF-Stmt of Fin. Pos. by mth'!$AB$83,'LWVCEF-Stmt of Fin. Pos. by mth'!$AD$83,'LWVCEF-Stmt of Fin. Pos. by mth'!$H$84,'LWVCEF-Stmt of Fin. Pos. by mth'!$J$84,'LWVCEF-Stmt of Fin. Pos. by mth'!$L$84,'LWVCEF-Stmt of Fin. Pos. by mth'!$N$84,'LWVCEF-Stmt of Fin. Pos. by mth'!$P$84,'LWVCEF-Stmt of Fin. Pos. by mth'!$R$84,'LWVCEF-Stmt of Fin. Pos. by mth'!$T$84,'LWVCEF-Stmt of Fin. Pos. by mth'!$V$84</definedName>
    <definedName name="QB_FORMULA_10" localSheetId="8" hidden="1">'LWVCEF-Stmt. of Act. by Month'!#REF!</definedName>
    <definedName name="QB_FORMULA_10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10" localSheetId="4" hidden="1">'LWVC-Stmt of Fin. Postn. by Mth'!$P$53,'LWVC-Stmt of Fin. Postn. by Mth'!$R$53,'LWVC-Stmt of Fin. Postn. by Mth'!$T$53,'LWVC-Stmt of Fin. Postn. by Mth'!$V$53,'LWVC-Stmt of Fin. Postn. by Mth'!$X$53,'LWVC-Stmt of Fin. Postn. by Mth'!$Z$53,'LWVC-Stmt of Fin. Postn. by Mth'!$AB$53,'LWVC-Stmt of Fin. Postn. by Mth'!$AD$53,'LWVC-Stmt of Fin. Postn. by Mth'!$H$58,'LWVC-Stmt of Fin. Postn. by Mth'!$J$58,'LWVC-Stmt of Fin. Postn. by Mth'!$L$58,'LWVC-Stmt of Fin. Postn. by Mth'!$N$58,'LWVC-Stmt of Fin. Postn. by Mth'!$P$58,'LWVC-Stmt of Fin. Postn. by Mth'!$R$58,'LWVC-Stmt of Fin. Postn. by Mth'!$T$58,'LWVC-Stmt of Fin. Postn. by Mth'!$V$58</definedName>
    <definedName name="QB_FORMULA_11" localSheetId="9" hidden="1">'LWVCEF-Stmt of Fin. Pos. by mth'!$X$84,'LWVCEF-Stmt of Fin. Pos. by mth'!$Z$84,'LWVCEF-Stmt of Fin. Pos. by mth'!$AB$84,'LWVCEF-Stmt of Fin. Pos. by mth'!$AD$84,'LWVCEF-Stmt of Fin. Pos. by mth'!$H$90,'LWVCEF-Stmt of Fin. Pos. by mth'!$J$90,'LWVCEF-Stmt of Fin. Pos. by mth'!$L$90,'LWVCEF-Stmt of Fin. Pos. by mth'!$N$90,'LWVCEF-Stmt of Fin. Pos. by mth'!$P$90,'LWVCEF-Stmt of Fin. Pos. by mth'!$R$90,'LWVCEF-Stmt of Fin. Pos. by mth'!$T$90,'LWVCEF-Stmt of Fin. Pos. by mth'!$V$90,'LWVCEF-Stmt of Fin. Pos. by mth'!$X$90,'LWVCEF-Stmt of Fin. Pos. by mth'!$Z$90,'LWVCEF-Stmt of Fin. Pos. by mth'!$AB$90,'LWVCEF-Stmt of Fin. Pos. by mth'!$AD$90</definedName>
    <definedName name="QB_FORMULA_11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11" localSheetId="4" hidden="1">'LWVC-Stmt of Fin. Postn. by Mth'!$X$58,'LWVC-Stmt of Fin. Postn. by Mth'!$Z$58,'LWVC-Stmt of Fin. Postn. by Mth'!$AB$58,'LWVC-Stmt of Fin. Postn. by Mth'!$AD$58,'LWVC-Stmt of Fin. Postn. by Mth'!$H$63,'LWVC-Stmt of Fin. Postn. by Mth'!$J$63,'LWVC-Stmt of Fin. Postn. by Mth'!$L$63,'LWVC-Stmt of Fin. Postn. by Mth'!$N$63,'LWVC-Stmt of Fin. Postn. by Mth'!$P$63,'LWVC-Stmt of Fin. Postn. by Mth'!$R$63,'LWVC-Stmt of Fin. Postn. by Mth'!$T$63,'LWVC-Stmt of Fin. Postn. by Mth'!$V$63,'LWVC-Stmt of Fin. Postn. by Mth'!$X$63,'LWVC-Stmt of Fin. Postn. by Mth'!$Z$63,'LWVC-Stmt of Fin. Postn. by Mth'!$AB$63,'LWVC-Stmt of Fin. Postn. by Mth'!$AD$63</definedName>
    <definedName name="QB_FORMULA_12" localSheetId="9" hidden="1">'LWVCEF-Stmt of Fin. Pos. by mth'!$H$95,'LWVCEF-Stmt of Fin. Pos. by mth'!$J$95,'LWVCEF-Stmt of Fin. Pos. by mth'!$L$95,'LWVCEF-Stmt of Fin. Pos. by mth'!$N$95,'LWVCEF-Stmt of Fin. Pos. by mth'!$P$95,'LWVCEF-Stmt of Fin. Pos. by mth'!$R$95,'LWVCEF-Stmt of Fin. Pos. by mth'!$T$95,'LWVCEF-Stmt of Fin. Pos. by mth'!$V$95,'LWVCEF-Stmt of Fin. Pos. by mth'!$X$95,'LWVCEF-Stmt of Fin. Pos. by mth'!$Z$95,'LWVCEF-Stmt of Fin. Pos. by mth'!$AB$95,'LWVCEF-Stmt of Fin. Pos. by mth'!$AD$95,'LWVCEF-Stmt of Fin. Pos. by mth'!$H$100,'LWVCEF-Stmt of Fin. Pos. by mth'!$J$100,'LWVCEF-Stmt of Fin. Pos. by mth'!$L$100,'LWVCEF-Stmt of Fin. Pos. by mth'!$N$100</definedName>
    <definedName name="QB_FORMULA_12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12" localSheetId="4" hidden="1">'LWVC-Stmt of Fin. Postn. by Mth'!$H$64,'LWVC-Stmt of Fin. Postn. by Mth'!$J$64,'LWVC-Stmt of Fin. Postn. by Mth'!$L$64,'LWVC-Stmt of Fin. Postn. by Mth'!$N$64,'LWVC-Stmt of Fin. Postn. by Mth'!$P$64,'LWVC-Stmt of Fin. Postn. by Mth'!$R$64,'LWVC-Stmt of Fin. Postn. by Mth'!$T$64,'LWVC-Stmt of Fin. Postn. by Mth'!$V$64,'LWVC-Stmt of Fin. Postn. by Mth'!$X$64,'LWVC-Stmt of Fin. Postn. by Mth'!$Z$64,'LWVC-Stmt of Fin. Postn. by Mth'!$AB$64,'LWVC-Stmt of Fin. Postn. by Mth'!$AD$64,'LWVC-Stmt of Fin. Postn. by Mth'!$H$67,'LWVC-Stmt of Fin. Postn. by Mth'!$J$67,'LWVC-Stmt of Fin. Postn. by Mth'!$L$67,'LWVC-Stmt of Fin. Postn. by Mth'!$N$67</definedName>
    <definedName name="QB_FORMULA_13" localSheetId="9" hidden="1">'LWVCEF-Stmt of Fin. Pos. by mth'!$P$100,'LWVCEF-Stmt of Fin. Pos. by mth'!$R$100,'LWVCEF-Stmt of Fin. Pos. by mth'!$T$100,'LWVCEF-Stmt of Fin. Pos. by mth'!$V$100,'LWVCEF-Stmt of Fin. Pos. by mth'!$X$100,'LWVCEF-Stmt of Fin. Pos. by mth'!$Z$100,'LWVCEF-Stmt of Fin. Pos. by mth'!$AB$100,'LWVCEF-Stmt of Fin. Pos. by mth'!$AD$100,'LWVCEF-Stmt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</definedName>
    <definedName name="QB_FORMULA_13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13" localSheetId="4" hidden="1">'LWVC-Stmt of Fin. Postn. by Mth'!$P$67,'LWVC-Stmt of Fin. Postn. by Mth'!$R$67,'LWVC-Stmt of Fin. Postn. by Mth'!$T$67,'LWVC-Stmt of Fin. Postn. by Mth'!$V$67,'LWVC-Stmt of Fin. Postn. by Mth'!$X$67,'LWVC-Stmt of Fin. Postn. by Mth'!$Z$67,'LWVC-Stmt of Fin. Postn. by Mth'!$AB$67,'LWVC-Stmt of Fin. Postn. by Mth'!$AD$67,'LWVC-Stmt of Fin. Postn. by Mth'!$H$68,'LWVC-Stmt of Fin. Postn. by Mth'!$J$68,'LWVC-Stmt of Fin. Postn. by Mth'!$L$68,'LWVC-Stmt of Fin. Postn. by Mth'!$N$68,'LWVC-Stmt of Fin. Postn. by Mth'!$P$68,'LWVC-Stmt of Fin. Postn. by Mth'!$R$68,'LWVC-Stmt of Fin. Postn. by Mth'!$T$68,'LWVC-Stmt of Fin. Postn. by Mth'!$V$68</definedName>
    <definedName name="QB_FORMULA_14" localSheetId="9" hidden="1">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</definedName>
    <definedName name="QB_FORMULA_14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14" localSheetId="4" hidden="1">'LWVC-Stmt of Fin. Postn. by Mth'!$X$68,'LWVC-Stmt of Fin. Postn. by Mth'!$Z$68,'LWVC-Stmt of Fin. Postn. by Mth'!$AB$68,'LWVC-Stmt of Fin. Postn. by Mth'!$AD$68,'LWVC-Stmt of Fin. Postn. by Mth'!$H$75,'LWVC-Stmt of Fin. Postn. by Mth'!$J$75,'LWVC-Stmt of Fin. Postn. by Mth'!$L$75,'LWVC-Stmt of Fin. Postn. by Mth'!$N$75,'LWVC-Stmt of Fin. Postn. by Mth'!$P$75,'LWVC-Stmt of Fin. Postn. by Mth'!$R$75,'LWVC-Stmt of Fin. Postn. by Mth'!$T$75,'LWVC-Stmt of Fin. Postn. by Mth'!$V$75,'LWVC-Stmt of Fin. Postn. by Mth'!$X$75,'LWVC-Stmt of Fin. Postn. by Mth'!$Z$75,'LWVC-Stmt of Fin. Postn. by Mth'!$AB$75,'LWVC-Stmt of Fin. Postn. by Mth'!$AD$75</definedName>
    <definedName name="QB_FORMULA_15" localSheetId="9" hidden="1">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</definedName>
    <definedName name="QB_FORMULA_15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15" localSheetId="4" hidden="1">'LWVC-Stmt of Fin. Postn. by Mth'!$H$78,'LWVC-Stmt of Fin. Postn. by Mth'!$J$78,'LWVC-Stmt of Fin. Postn. by Mth'!$L$78,'LWVC-Stmt of Fin. Postn. by Mth'!$N$78,'LWVC-Stmt of Fin. Postn. by Mth'!$P$78,'LWVC-Stmt of Fin. Postn. by Mth'!$R$78,'LWVC-Stmt of Fin. Postn. by Mth'!$T$78,'LWVC-Stmt of Fin. Postn. by Mth'!$V$78,'LWVC-Stmt of Fin. Postn. by Mth'!$X$78,'LWVC-Stmt of Fin. Postn. by Mth'!$Z$78,'LWVC-Stmt of Fin. Postn. by Mth'!$AB$78,'LWVC-Stmt of Fin. Postn. by Mth'!$AD$78,'LWVC-Stmt of Fin. Postn. by Mth'!$H$80,'LWVC-Stmt of Fin. Postn. by Mth'!$J$80,'LWVC-Stmt of Fin. Postn. by Mth'!$L$80,'LWVC-Stmt of Fin. Postn. by Mth'!$N$80</definedName>
    <definedName name="QB_FORMULA_16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16" localSheetId="4" hidden="1">'LWVC-Stmt of Fin. Postn. by Mth'!$P$80,'LWVC-Stmt of Fin. Postn. by Mth'!$R$80,'LWVC-Stmt of Fin. Postn. by Mth'!$T$80,'LWVC-Stmt of Fin. Postn. by Mth'!$V$80,'LWVC-Stmt of Fin. Postn. by Mth'!$X$80,'LWVC-Stmt of Fin. Postn. by Mth'!$Z$80,'LWVC-Stmt of Fin. Postn. by Mth'!$AB$80,'LWVC-Stmt of Fin. Postn. by Mth'!$AD$80,'LWVC-Stmt of Fin. Postn. by Mth'!$H$81,'LWVC-Stmt of Fin. Postn. by Mth'!$J$81,'LWVC-Stmt of Fin. Postn. by Mth'!$L$81,'LWVC-Stmt of Fin. Postn. by Mth'!$N$81,'LWVC-Stmt of Fin. Postn. by Mth'!$P$81,'LWVC-Stmt of Fin. Postn. by Mth'!$R$81,'LWVC-Stmt of Fin. Postn. by Mth'!$T$81,'LWVC-Stmt of Fin. Postn. by Mth'!$V$81</definedName>
    <definedName name="QB_FORMULA_17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17" localSheetId="4" hidden="1">'LWVC-Stmt of Fin. Postn. by Mth'!$X$81,'LWVC-Stmt of Fin. Postn. by Mth'!$Z$81,'LWVC-Stmt of Fin. Postn. by Mth'!$AB$81,'LWVC-Stmt of Fin. Postn. by Mth'!$AD$81</definedName>
    <definedName name="QB_FORMULA_18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19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2" localSheetId="9" hidden="1">'LWVCEF-Stmt of Fin. Pos. by mth'!$X$14,'LWVCEF-Stmt of Fin. Pos. by mth'!$Z$14,'LWVCEF-Stmt of Fin. Pos. by mth'!$AB$14,'LWVCEF-Stmt of Fin. Pos. by mth'!$AD$14,'LWVCEF-Stmt of Fin. Pos. by mth'!$H$20,'LWVCEF-Stmt of Fin. Pos. by mth'!$J$20,'LWVCEF-Stmt of Fin. Pos. by mth'!$L$20,'LWVCEF-Stmt of Fin. Pos. by mth'!$N$20,'LWVCEF-Stmt of Fin. Pos. by mth'!$P$20,'LWVCEF-Stmt of Fin. Pos. by mth'!$R$20,'LWVCEF-Stmt of Fin. Pos. by mth'!$T$20,'LWVCEF-Stmt of Fin. Pos. by mth'!$V$20,'LWVCEF-Stmt of Fin. Pos. by mth'!$X$20,'LWVCEF-Stmt of Fin. Pos. by mth'!$Z$20,'LWVCEF-Stmt of Fin. Pos. by mth'!$AB$20,'LWVCEF-Stmt of Fin. Pos. by mth'!$AD$20</definedName>
    <definedName name="QB_FORMULA_2" localSheetId="8" hidden="1">'LWVCEF-Stmt. of Act. by Month'!$AD$15,'LWVCEF-Stmt. of Act. by Month'!$AF$15,'LWVCEF-Stmt. of Act. by Month'!$AF$17,'LWVCEF-Stmt. of Act. by Month'!$AF$18,'LWVCEF-Stmt. of Act. by Month'!$AF$19,'LWVCEF-Stmt. of Act. by Month'!$AF$20,'LWVCEF-Stmt. of Act. by Month'!$H$21,'LWVCEF-Stmt. of Act. by Month'!$J$21,'LWVCEF-Stmt. of Act. by Month'!$L$21,'LWVCEF-Stmt. of Act. by Month'!$N$21,'LWVCEF-Stmt. of Act. by Month'!$P$21,'LWVCEF-Stmt. of Act. by Month'!$R$21,'LWVCEF-Stmt. of Act. by Month'!$T$21,'LWVCEF-Stmt. of Act. by Month'!$V$21,'LWVCEF-Stmt. of Act. by Month'!$X$21,'LWVCEF-Stmt. of Act. by Month'!$Z$21</definedName>
    <definedName name="QB_FORMULA_2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2" localSheetId="3" hidden="1">'LWVC-Stmt of Activities by Mth'!$AB$16,'LWVC-Stmt of Activities by Mth'!$AD$16,'LWVC-Stmt of Activities by Mth'!$AF$16,'LWVC-Stmt of Activities by Mth'!$AF$18,'LWVC-Stmt of Activities by Mth'!$AF$19,'LWVC-Stmt of Activities by Mth'!$AF$20,'LWVC-Stmt of Activities by Mth'!$AF$21,'LWVC-Stmt of Activities by Mth'!$AF$22,'LWVC-Stmt of Activities by Mth'!$AF$23,'LWVC-Stmt of Activities by Mth'!$AF$25,'LWVC-Stmt of Activities by Mth'!$AF$26,'LWVC-Stmt of Activities by Mth'!$AF$27,'LWVC-Stmt of Activities by Mth'!$AF$28,'LWVC-Stmt of Activities by Mth'!$H$29,'LWVC-Stmt of Activities by Mth'!$J$29,'LWVC-Stmt of Activities by Mth'!$L$29</definedName>
    <definedName name="QB_FORMULA_2" localSheetId="4" hidden="1">'LWVC-Stmt of Fin. Postn. by Mth'!$X$12,'LWVC-Stmt of Fin. Postn. by Mth'!$Z$12,'LWVC-Stmt of Fin. Postn. by Mth'!$AB$12,'LWVC-Stmt of Fin. Postn. by Mth'!$AD$12,'LWVC-Stmt of Fin. Postn. by Mth'!$H$20,'LWVC-Stmt of Fin. Postn. by Mth'!$J$20,'LWVC-Stmt of Fin. Postn. by Mth'!$L$20,'LWVC-Stmt of Fin. Postn. by Mth'!$N$20,'LWVC-Stmt of Fin. Postn. by Mth'!$P$20,'LWVC-Stmt of Fin. Postn. by Mth'!$R$20,'LWVC-Stmt of Fin. Postn. by Mth'!$T$20,'LWVC-Stmt of Fin. Postn. by Mth'!$V$20,'LWVC-Stmt of Fin. Postn. by Mth'!$X$20,'LWVC-Stmt of Fin. Postn. by Mth'!$Z$20,'LWVC-Stmt of Fin. Postn. by Mth'!$AB$20,'LWVC-Stmt of Fin. Postn. by Mth'!$AD$20</definedName>
    <definedName name="QB_FORMULA_20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21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22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23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24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25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26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27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28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29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3" localSheetId="9" hidden="1">'LWVCEF-Stmt of Fin. Pos. by mth'!$H$24,'LWVCEF-Stmt of Fin. Pos. by mth'!$J$24,'LWVCEF-Stmt of Fin. Pos. by mth'!$L$24,'LWVCEF-Stmt of Fin. Pos. by mth'!$N$24,'LWVCEF-Stmt of Fin. Pos. by mth'!$P$24,'LWVCEF-Stmt of Fin. Pos. by mth'!$R$24,'LWVCEF-Stmt of Fin. Pos. by mth'!$T$24,'LWVCEF-Stmt of Fin. Pos. by mth'!$V$24,'LWVCEF-Stmt of Fin. Pos. by mth'!$X$24,'LWVCEF-Stmt of Fin. Pos. by mth'!$Z$24,'LWVCEF-Stmt of Fin. Pos. by mth'!$AB$24,'LWVCEF-Stmt of Fin. Pos. by mth'!$AD$24,'LWVCEF-Stmt of Fin. Pos. by mth'!$H$25,'LWVCEF-Stmt of Fin. Pos. by mth'!$J$25,'LWVCEF-Stmt of Fin. Pos. by mth'!$L$25,'LWVCEF-Stmt of Fin. Pos. by mth'!$N$25</definedName>
    <definedName name="QB_FORMULA_3" localSheetId="8" hidden="1">'LWVCEF-Stmt. of Act. by Month'!$AB$21,'LWVCEF-Stmt. of Act. by Month'!$AD$21,'LWVCEF-Stmt. of Act. by Month'!$AF$21,'LWVCEF-Stmt. of Act. by Month'!$AF$22,'LWVCEF-Stmt. of Act. by Month'!$AF$23,'LWVCEF-Stmt. of Act. by Month'!$AF$24,'LWVCEF-Stmt. of Act. by Month'!$H$25,'LWVCEF-Stmt. of Act. by Month'!$J$25,'LWVCEF-Stmt. of Act. by Month'!$L$25,'LWVCEF-Stmt. of Act. by Month'!$N$25,'LWVCEF-Stmt. of Act. by Month'!$P$25,'LWVCEF-Stmt. of Act. by Month'!$R$25,'LWVCEF-Stmt. of Act. by Month'!$T$25,'LWVCEF-Stmt. of Act. by Month'!$V$25,'LWVCEF-Stmt. of Act. by Month'!$X$25,'LWVCEF-Stmt. of Act. by Month'!$Z$25</definedName>
    <definedName name="QB_FORMULA_3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3" localSheetId="3" hidden="1">'LWVC-Stmt of Activities by Mth'!$N$29,'LWVC-Stmt of Activities by Mth'!$P$29,'LWVC-Stmt of Activities by Mth'!$R$29,'LWVC-Stmt of Activities by Mth'!$T$29,'LWVC-Stmt of Activities by Mth'!$V$29,'LWVC-Stmt of Activities by Mth'!$X$29,'LWVC-Stmt of Activities by Mth'!$Z$29,'LWVC-Stmt of Activities by Mth'!$AB$29,'LWVC-Stmt of Activities by Mth'!$AD$29,'LWVC-Stmt of Activities by Mth'!$AF$29,'LWVC-Stmt of Activities by Mth'!$H$30,'LWVC-Stmt of Activities by Mth'!$J$30,'LWVC-Stmt of Activities by Mth'!$L$30,'LWVC-Stmt of Activities by Mth'!$N$30,'LWVC-Stmt of Activities by Mth'!$P$30,'LWVC-Stmt of Activities by Mth'!$R$30</definedName>
    <definedName name="QB_FORMULA_3" localSheetId="4" hidden="1">'LWVC-Stmt of Fin. Postn. by Mth'!$H$23,'LWVC-Stmt of Fin. Postn. by Mth'!$J$23,'LWVC-Stmt of Fin. Postn. by Mth'!$L$23,'LWVC-Stmt of Fin. Postn. by Mth'!$N$23,'LWVC-Stmt of Fin. Postn. by Mth'!$P$23,'LWVC-Stmt of Fin. Postn. by Mth'!$R$23,'LWVC-Stmt of Fin. Postn. by Mth'!$T$23,'LWVC-Stmt of Fin. Postn. by Mth'!$V$23,'LWVC-Stmt of Fin. Postn. by Mth'!$X$23,'LWVC-Stmt of Fin. Postn. by Mth'!$Z$23,'LWVC-Stmt of Fin. Postn. by Mth'!$AB$23,'LWVC-Stmt of Fin. Postn. by Mth'!$AD$23,'LWVC-Stmt of Fin. Postn. by Mth'!$H$24,'LWVC-Stmt of Fin. Postn. by Mth'!$J$24,'LWVC-Stmt of Fin. Postn. by Mth'!$L$24,'LWVC-Stmt of Fin. Postn. by Mth'!$N$24</definedName>
    <definedName name="QB_FORMULA_30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31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32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33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34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35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36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37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38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39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4" localSheetId="9" hidden="1">'LWVCEF-Stmt of Fin. Pos. by mth'!$P$25,'LWVCEF-Stmt of Fin. Pos. by mth'!$R$25,'LWVCEF-Stmt of Fin. Pos. by mth'!$T$25,'LWVCEF-Stmt of Fin. Pos. by mth'!$V$25,'LWVCEF-Stmt of Fin. Pos. by mth'!$X$25,'LWVCEF-Stmt of Fin. Pos. by mth'!$Z$25,'LWVCEF-Stmt of Fin. Pos. by mth'!$AB$25,'LWVCEF-Stmt of Fin. Pos. by mth'!$AD$25,'LWVCEF-Stmt of Fin. Pos. by mth'!$H$30,'LWVCEF-Stmt of Fin. Pos. by mth'!$J$30,'LWVCEF-Stmt of Fin. Pos. by mth'!$L$30,'LWVCEF-Stmt of Fin. Pos. by mth'!$N$30,'LWVCEF-Stmt of Fin. Pos. by mth'!$P$30,'LWVCEF-Stmt of Fin. Pos. by mth'!$R$30,'LWVCEF-Stmt of Fin. Pos. by mth'!$T$30,'LWVCEF-Stmt of Fin. Pos. by mth'!$V$30</definedName>
    <definedName name="QB_FORMULA_4" localSheetId="8" hidden="1">'LWVCEF-Stmt. of Act. by Month'!$AB$25,'LWVCEF-Stmt. of Act. by Month'!$AD$25,'LWVCEF-Stmt. of Act. by Month'!$AF$25,'LWVCEF-Stmt. of Act. by Month'!$AF$27,'LWVCEF-Stmt. of Act. by Month'!$H$28,'LWVCEF-Stmt. of Act. by Month'!$J$28,'LWVCEF-Stmt. of Act. by Month'!$L$28,'LWVCEF-Stmt. of Act. by Month'!$N$28,'LWVCEF-Stmt. of Act. by Month'!$P$28,'LWVCEF-Stmt. of Act. by Month'!$R$28,'LWVCEF-Stmt. of Act. by Month'!$T$28,'LWVCEF-Stmt. of Act. by Month'!$V$28,'LWVCEF-Stmt. of Act. by Month'!$X$28,'LWVCEF-Stmt. of Act. by Month'!$Z$28,'LWVCEF-Stmt. of Act. by Month'!$AB$28,'LWVCEF-Stmt. of Act. by Month'!$AD$28</definedName>
    <definedName name="QB_FORMULA_4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4" localSheetId="3" hidden="1">'LWVC-Stmt of Activities by Mth'!$T$30,'LWVC-Stmt of Activities by Mth'!$V$30,'LWVC-Stmt of Activities by Mth'!$X$30,'LWVC-Stmt of Activities by Mth'!$Z$30,'LWVC-Stmt of Activities by Mth'!$AB$30,'LWVC-Stmt of Activities by Mth'!$AD$30,'LWVC-Stmt of Activities by Mth'!$AF$30,'LWVC-Stmt of Activities by Mth'!$AF$31,'LWVC-Stmt of Activities by Mth'!$AF$32,'LWVC-Stmt of Activities by Mth'!$AF$33,'LWVC-Stmt of Activities by Mth'!$H$34,'LWVC-Stmt of Activities by Mth'!$J$34,'LWVC-Stmt of Activities by Mth'!$L$34,'LWVC-Stmt of Activities by Mth'!$N$34,'LWVC-Stmt of Activities by Mth'!$P$34,'LWVC-Stmt of Activities by Mth'!$R$34</definedName>
    <definedName name="QB_FORMULA_4" localSheetId="4" hidden="1">'LWVC-Stmt of Fin. Postn. by Mth'!$P$24,'LWVC-Stmt of Fin. Postn. by Mth'!$R$24,'LWVC-Stmt of Fin. Postn. by Mth'!$T$24,'LWVC-Stmt of Fin. Postn. by Mth'!$V$24,'LWVC-Stmt of Fin. Postn. by Mth'!$X$24,'LWVC-Stmt of Fin. Postn. by Mth'!$Z$24,'LWVC-Stmt of Fin. Postn. by Mth'!$AB$24,'LWVC-Stmt of Fin. Postn. by Mth'!$AD$24,'LWVC-Stmt of Fin. Postn. by Mth'!$H$29,'LWVC-Stmt of Fin. Postn. by Mth'!$J$29,'LWVC-Stmt of Fin. Postn. by Mth'!$L$29,'LWVC-Stmt of Fin. Postn. by Mth'!$N$29,'LWVC-Stmt of Fin. Postn. by Mth'!$P$29,'LWVC-Stmt of Fin. Postn. by Mth'!$R$29,'LWVC-Stmt of Fin. Postn. by Mth'!$T$29,'LWVC-Stmt of Fin. Postn. by Mth'!$V$29</definedName>
    <definedName name="QB_FORMULA_40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41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42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43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44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45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46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47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48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49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5" localSheetId="9" hidden="1">'LWVCEF-Stmt of Fin. Pos. by mth'!$X$30,'LWVCEF-Stmt of Fin. Pos. by mth'!$Z$30,'LWVCEF-Stmt of Fin. Pos. by mth'!$AB$30,'LWVCEF-Stmt of Fin. Pos. by mth'!$AD$30,'LWVCEF-Stmt of Fin. Pos. by mth'!$H$31,'LWVCEF-Stmt of Fin. Pos. by mth'!$J$31,'LWVCEF-Stmt of Fin. Pos. by mth'!$L$31,'LWVCEF-Stmt of Fin. Pos. by mth'!$N$31,'LWVCEF-Stmt of Fin. Pos. by mth'!$P$31,'LWVCEF-Stmt of Fin. Pos. by mth'!$R$31,'LWVCEF-Stmt of Fin. Pos. by mth'!$T$31,'LWVCEF-Stmt of Fin. Pos. by mth'!$V$31,'LWVCEF-Stmt of Fin. Pos. by mth'!$X$31,'LWVCEF-Stmt of Fin. Pos. by mth'!$Z$31,'LWVCEF-Stmt of Fin. Pos. by mth'!$AB$31,'LWVCEF-Stmt of Fin. Pos. by mth'!$AD$31</definedName>
    <definedName name="QB_FORMULA_5" localSheetId="8" hidden="1">'LWVCEF-Stmt. of Act. by Month'!$AF$28,'LWVCEF-Stmt. of Act. by Month'!$H$29,'LWVCEF-Stmt. of Act. by Month'!$J$29,'LWVCEF-Stmt. of Act. by Month'!$L$29,'LWVCEF-Stmt. of Act. by Month'!$N$29,'LWVCEF-Stmt. of Act. by Month'!$P$29,'LWVCEF-Stmt. of Act. by Month'!$R$29,'LWVCEF-Stmt. of Act. by Month'!$T$29,'LWVCEF-Stmt. of Act. by Month'!$V$29,'LWVCEF-Stmt. of Act. by Month'!$X$29,'LWVCEF-Stmt. of Act. by Month'!$Z$29,'LWVCEF-Stmt. of Act. by Month'!$AB$29,'LWVCEF-Stmt. of Act. by Month'!$AD$29,'LWVCEF-Stmt. of Act. by Month'!$AF$29,'LWVCEF-Stmt. of Act. by Month'!$AF$31,'LWVCEF-Stmt. of Act. by Month'!$AF$32</definedName>
    <definedName name="QB_FORMULA_5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5" localSheetId="3" hidden="1">'LWVC-Stmt of Activities by Mth'!$T$34,'LWVC-Stmt of Activities by Mth'!$V$34,'LWVC-Stmt of Activities by Mth'!$X$34,'LWVC-Stmt of Activities by Mth'!$Z$34,'LWVC-Stmt of Activities by Mth'!$AB$34,'LWVC-Stmt of Activities by Mth'!$AD$34,'LWVC-Stmt of Activities by Mth'!$AF$34,'LWVC-Stmt of Activities by Mth'!$AF$35,'LWVC-Stmt of Activities by Mth'!$H$36,'LWVC-Stmt of Activities by Mth'!$J$36,'LWVC-Stmt of Activities by Mth'!$L$36,'LWVC-Stmt of Activities by Mth'!$N$36,'LWVC-Stmt of Activities by Mth'!$P$36,'LWVC-Stmt of Activities by Mth'!$R$36,'LWVC-Stmt of Activities by Mth'!$T$36,'LWVC-Stmt of Activities by Mth'!$V$36</definedName>
    <definedName name="QB_FORMULA_5" localSheetId="4" hidden="1">'LWVC-Stmt of Fin. Postn. by Mth'!$X$29,'LWVC-Stmt of Fin. Postn. by Mth'!$Z$29,'LWVC-Stmt of Fin. Postn. by Mth'!$AB$29,'LWVC-Stmt of Fin. Postn. by Mth'!$AD$29,'LWVC-Stmt of Fin. Postn. by Mth'!$H$32,'LWVC-Stmt of Fin. Postn. by Mth'!$J$32,'LWVC-Stmt of Fin. Postn. by Mth'!$L$32,'LWVC-Stmt of Fin. Postn. by Mth'!$N$32,'LWVC-Stmt of Fin. Postn. by Mth'!$P$32,'LWVC-Stmt of Fin. Postn. by Mth'!$R$32,'LWVC-Stmt of Fin. Postn. by Mth'!$T$32,'LWVC-Stmt of Fin. Postn. by Mth'!$V$32,'LWVC-Stmt of Fin. Postn. by Mth'!$X$32,'LWVC-Stmt of Fin. Postn. by Mth'!$Z$32,'LWVC-Stmt of Fin. Postn. by Mth'!$AB$32,'LWVC-Stmt of Fin. Postn. by Mth'!$AD$32</definedName>
    <definedName name="QB_FORMULA_50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51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52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53" localSheetId="2" hidden="1">'LWVC-Stmt of Act. by Class'!#REF!,'LWVC-Stmt of Act. by Class'!#REF!,'LWVC-Stmt of Act. by Class'!#REF!,'LWVC-Stmt of Act. by Class'!#REF!,'LWVC-Stmt of Act. by Class'!#REF!,'LWVC-Stmt of Act. by Class'!#REF!</definedName>
    <definedName name="QB_FORMULA_6" localSheetId="9" hidden="1">'LWVCEF-Stmt of Fin. Pos. by mth'!$H$37,'LWVCEF-Stmt of Fin. Pos. by mth'!$J$37,'LWVCEF-Stmt of Fin. Pos. by mth'!$L$37,'LWVCEF-Stmt of Fin. Pos. by mth'!$N$37,'LWVCEF-Stmt of Fin. Pos. by mth'!$P$37,'LWVCEF-Stmt of Fin. Pos. by mth'!$R$37,'LWVCEF-Stmt of Fin. Pos. by mth'!$T$37,'LWVCEF-Stmt of Fin. Pos. by mth'!$V$37,'LWVCEF-Stmt of Fin. Pos. by mth'!$X$37,'LWVCEF-Stmt of Fin. Pos. by mth'!$Z$37,'LWVCEF-Stmt of Fin. Pos. by mth'!$AB$37,'LWVCEF-Stmt of Fin. Pos. by mth'!$AD$37,'LWVCEF-Stmt of Fin. Pos. by mth'!$H$42,'LWVCEF-Stmt of Fin. Pos. by mth'!$J$42,'LWVCEF-Stmt of Fin. Pos. by mth'!$L$42,'LWVCEF-Stmt of Fin. Pos. by mth'!$N$42</definedName>
    <definedName name="QB_FORMULA_6" localSheetId="8" hidden="1">'LWVCEF-Stmt. of Act. by Month'!$AF$33,'LWVCEF-Stmt. of Act. by Month'!$AF$34,'LWVCEF-Stmt. of Act. by Month'!$AF$35,'LWVCEF-Stmt. of Act. by Month'!$AF$36,'LWVCEF-Stmt. of Act. by Month'!$AF$37,'LWVCEF-Stmt. of Act. by Month'!$AF$38,'LWVCEF-Stmt. of Act. by Month'!$AF$39,'LWVCEF-Stmt. of Act. by Month'!$AF$40,'LWVCEF-Stmt. of Act. by Month'!$AF$41,'LWVCEF-Stmt. of Act. by Month'!$AF$42,'LWVCEF-Stmt. of Act. by Month'!$AF$43,'LWVCEF-Stmt. of Act. by Month'!$AF$44,'LWVCEF-Stmt. of Act. by Month'!$H$45,'LWVCEF-Stmt. of Act. by Month'!$J$45,'LWVCEF-Stmt. of Act. by Month'!$L$45,'LWVCEF-Stmt. of Act. by Month'!$N$45</definedName>
    <definedName name="QB_FORMULA_6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6" localSheetId="3" hidden="1">'LWVC-Stmt of Activities by Mth'!$X$36,'LWVC-Stmt of Activities by Mth'!$Z$36,'LWVC-Stmt of Activities by Mth'!$AB$36,'LWVC-Stmt of Activities by Mth'!$AD$36,'LWVC-Stmt of Activities by Mth'!$AF$36,'LWVC-Stmt of Activities by Mth'!$AF$38,'LWVC-Stmt of Activities by Mth'!$AF$39,'LWVC-Stmt of Activities by Mth'!$AF$40,'LWVC-Stmt of Activities by Mth'!$AF$41,'LWVC-Stmt of Activities by Mth'!$AF$42,'LWVC-Stmt of Activities by Mth'!$AF$43,'LWVC-Stmt of Activities by Mth'!$AF$44,'LWVC-Stmt of Activities by Mth'!$AF$45,'LWVC-Stmt of Activities by Mth'!$AF$46,'LWVC-Stmt of Activities by Mth'!$AF$47,'LWVC-Stmt of Activities by Mth'!$AF$48</definedName>
    <definedName name="QB_FORMULA_6" localSheetId="4" hidden="1">'LWVC-Stmt of Fin. Postn. by Mth'!$H$33,'LWVC-Stmt of Fin. Postn. by Mth'!$J$33,'LWVC-Stmt of Fin. Postn. by Mth'!$L$33,'LWVC-Stmt of Fin. Postn. by Mth'!$N$33,'LWVC-Stmt of Fin. Postn. by Mth'!$P$33,'LWVC-Stmt of Fin. Postn. by Mth'!$R$33,'LWVC-Stmt of Fin. Postn. by Mth'!$T$33,'LWVC-Stmt of Fin. Postn. by Mth'!$V$33,'LWVC-Stmt of Fin. Postn. by Mth'!$X$33,'LWVC-Stmt of Fin. Postn. by Mth'!$Z$33,'LWVC-Stmt of Fin. Postn. by Mth'!$AB$33,'LWVC-Stmt of Fin. Postn. by Mth'!$AD$33,'LWVC-Stmt of Fin. Postn. by Mth'!$H$39,'LWVC-Stmt of Fin. Postn. by Mth'!$J$39,'LWVC-Stmt of Fin. Postn. by Mth'!$L$39,'LWVC-Stmt of Fin. Postn. by Mth'!$N$39</definedName>
    <definedName name="QB_FORMULA_7" localSheetId="9" hidden="1">'LWVCEF-Stmt of Fin. Pos. by mth'!$P$42,'LWVCEF-Stmt of Fin. Pos. by mth'!$R$42,'LWVCEF-Stmt of Fin. Pos. by mth'!$T$42,'LWVCEF-Stmt of Fin. Pos. by mth'!$V$42,'LWVCEF-Stmt of Fin. Pos. by mth'!$X$42,'LWVCEF-Stmt of Fin. Pos. by mth'!$Z$42,'LWVCEF-Stmt of Fin. Pos. by mth'!$AB$42,'LWVCEF-Stmt of Fin. Pos. by mth'!$AD$42,'LWVCEF-Stmt of Fin. Pos. by mth'!$H$63,'LWVCEF-Stmt of Fin. Pos. by mth'!$J$63,'LWVCEF-Stmt of Fin. Pos. by mth'!$L$63,'LWVCEF-Stmt of Fin. Pos. by mth'!$N$63,'LWVCEF-Stmt of Fin. Pos. by mth'!$P$63,'LWVCEF-Stmt of Fin. Pos. by mth'!$R$63,'LWVCEF-Stmt of Fin. Pos. by mth'!$T$63,'LWVCEF-Stmt of Fin. Pos. by mth'!$V$63</definedName>
    <definedName name="QB_FORMULA_7" localSheetId="8" hidden="1">'LWVCEF-Stmt. of Act. by Month'!$P$45,'LWVCEF-Stmt. of Act. by Month'!$R$45,'LWVCEF-Stmt. of Act. by Month'!$T$45,'LWVCEF-Stmt. of Act. by Month'!$V$45,'LWVCEF-Stmt. of Act. by Month'!$X$45,'LWVCEF-Stmt. of Act. by Month'!$Z$45,'LWVCEF-Stmt. of Act. by Month'!$AB$45,'LWVCEF-Stmt. of Act. by Month'!$AD$45,'LWVCEF-Stmt. of Act. by Month'!$AF$45,'LWVCEF-Stmt. of Act. by Month'!$H$46,'LWVCEF-Stmt. of Act. by Month'!$J$46,'LWVCEF-Stmt. of Act. by Month'!$L$46,'LWVCEF-Stmt. of Act. by Month'!$N$46,'LWVCEF-Stmt. of Act. by Month'!$P$46,'LWVCEF-Stmt. of Act. by Month'!$R$46,'LWVCEF-Stmt. of Act. by Month'!$T$46</definedName>
    <definedName name="QB_FORMULA_7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7" localSheetId="3" hidden="1">'LWVC-Stmt of Activities by Mth'!$AF$49,'LWVC-Stmt of Activities by Mth'!$AF$50,'LWVC-Stmt of Activities by Mth'!$AF$51,'LWVC-Stmt of Activities by Mth'!$AF$52,'LWVC-Stmt of Activities by Mth'!$AF$53,'LWVC-Stmt of Activities by Mth'!$AF$54,'LWVC-Stmt of Activities by Mth'!$H$55,'LWVC-Stmt of Activities by Mth'!$J$55,'LWVC-Stmt of Activities by Mth'!$L$55,'LWVC-Stmt of Activities by Mth'!$N$55,'LWVC-Stmt of Activities by Mth'!$P$55,'LWVC-Stmt of Activities by Mth'!$R$55,'LWVC-Stmt of Activities by Mth'!$T$55,'LWVC-Stmt of Activities by Mth'!$V$55,'LWVC-Stmt of Activities by Mth'!$X$55,'LWVC-Stmt of Activities by Mth'!$Z$55</definedName>
    <definedName name="QB_FORMULA_7" localSheetId="4" hidden="1">'LWVC-Stmt of Fin. Postn. by Mth'!$P$39,'LWVC-Stmt of Fin. Postn. by Mth'!$R$39,'LWVC-Stmt of Fin. Postn. by Mth'!$T$39,'LWVC-Stmt of Fin. Postn. by Mth'!$V$39,'LWVC-Stmt of Fin. Postn. by Mth'!$X$39,'LWVC-Stmt of Fin. Postn. by Mth'!$Z$39,'LWVC-Stmt of Fin. Postn. by Mth'!$AB$39,'LWVC-Stmt of Fin. Postn. by Mth'!$AD$39,'LWVC-Stmt of Fin. Postn. by Mth'!$H$46,'LWVC-Stmt of Fin. Postn. by Mth'!$J$46,'LWVC-Stmt of Fin. Postn. by Mth'!$L$46,'LWVC-Stmt of Fin. Postn. by Mth'!$N$46,'LWVC-Stmt of Fin. Postn. by Mth'!$P$46,'LWVC-Stmt of Fin. Postn. by Mth'!$R$46,'LWVC-Stmt of Fin. Postn. by Mth'!$T$46,'LWVC-Stmt of Fin. Postn. by Mth'!$V$46</definedName>
    <definedName name="QB_FORMULA_8" localSheetId="9" hidden="1">'LWVCEF-Stmt of Fin. Pos. by mth'!$X$63,'LWVCEF-Stmt of Fin. Pos. by mth'!$Z$63,'LWVCEF-Stmt of Fin. Pos. by mth'!$AB$63,'LWVCEF-Stmt of Fin. Pos. by mth'!$AD$63,'LWVCEF-Stmt of Fin. Pos. by mth'!$H$79,'LWVCEF-Stmt of Fin. Pos. by mth'!$J$79,'LWVCEF-Stmt of Fin. Pos. by mth'!$L$79,'LWVCEF-Stmt of Fin. Pos. by mth'!$N$79,'LWVCEF-Stmt of Fin. Pos. by mth'!$P$79,'LWVCEF-Stmt of Fin. Pos. by mth'!$R$79,'LWVCEF-Stmt of Fin. Pos. by mth'!$T$79,'LWVCEF-Stmt of Fin. Pos. by mth'!$V$79,'LWVCEF-Stmt of Fin. Pos. by mth'!$X$79,'LWVCEF-Stmt of Fin. Pos. by mth'!$Z$79,'LWVCEF-Stmt of Fin. Pos. by mth'!$AB$79,'LWVCEF-Stmt of Fin. Pos. by mth'!$AD$79</definedName>
    <definedName name="QB_FORMULA_8" localSheetId="8" hidden="1">'LWVCEF-Stmt. of Act. by Month'!$V$46,'LWVCEF-Stmt. of Act. by Month'!$X$46,'LWVCEF-Stmt. of Act. by Month'!$Z$46,'LWVCEF-Stmt. of Act. by Month'!$AB$46,'LWVCEF-Stmt. of Act. by Month'!$AD$46,'LWVCEF-Stmt. of Act. by Month'!$AF$46,'LWVCEF-Stmt. of Act. by Month'!#REF!,'LWVCEF-Stmt. of Act. by Month'!#REF!,'LWVCEF-Stmt. of Act. by Month'!#REF!,'LWVCEF-Stmt. of Act. by Month'!#REF!,'LWVCEF-Stmt. of Act. by Month'!#REF!,'LWVCEF-Stmt. of Act. by Month'!#REF!,'LWVCEF-Stmt. of Act. by Month'!#REF!,'LWVCEF-Stmt. of Act. by Month'!#REF!,'LWVCEF-Stmt. of Act. by Month'!#REF!,'LWVCEF-Stmt. of Act. by Month'!#REF!</definedName>
    <definedName name="QB_FORMULA_8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8" localSheetId="3" hidden="1">'LWVC-Stmt of Activities by Mth'!$AB$55,'LWVC-Stmt of Activities by Mth'!$AD$55,'LWVC-Stmt of Activities by Mth'!$AF$55,'LWVC-Stmt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</definedName>
    <definedName name="QB_FORMULA_8" localSheetId="4" hidden="1">'LWVC-Stmt of Fin. Postn. by Mth'!$X$46,'LWVC-Stmt of Fin. Postn. by Mth'!$Z$46,'LWVC-Stmt of Fin. Postn. by Mth'!$AB$46,'LWVC-Stmt of Fin. Postn. by Mth'!$AD$46,'LWVC-Stmt of Fin. Postn. by Mth'!$H$48,'LWVC-Stmt of Fin. Postn. by Mth'!$J$48,'LWVC-Stmt of Fin. Postn. by Mth'!$L$48,'LWVC-Stmt of Fin. Postn. by Mth'!$N$48,'LWVC-Stmt of Fin. Postn. by Mth'!$P$48,'LWVC-Stmt of Fin. Postn. by Mth'!$R$48,'LWVC-Stmt of Fin. Postn. by Mth'!$T$48,'LWVC-Stmt of Fin. Postn. by Mth'!$V$48,'LWVC-Stmt of Fin. Postn. by Mth'!$X$48,'LWVC-Stmt of Fin. Postn. by Mth'!$Z$48,'LWVC-Stmt of Fin. Postn. by Mth'!$AB$48,'LWVC-Stmt of Fin. Postn. by Mth'!$AD$48</definedName>
    <definedName name="QB_FORMULA_9" localSheetId="9" hidden="1">'LWVCEF-Stmt of Fin. Pos. by mth'!$H$82,'LWVCEF-Stmt of Fin. Pos. by mth'!$J$82,'LWVCEF-Stmt of Fin. Pos. by mth'!$L$82,'LWVCEF-Stmt of Fin. Pos. by mth'!$N$82,'LWVCEF-Stmt of Fin. Pos. by mth'!$P$82,'LWVCEF-Stmt of Fin. Pos. by mth'!$R$82,'LWVCEF-Stmt of Fin. Pos. by mth'!$T$82,'LWVCEF-Stmt of Fin. Pos. by mth'!$V$82,'LWVCEF-Stmt of Fin. Pos. by mth'!$X$82,'LWVCEF-Stmt of Fin. Pos. by mth'!$Z$82,'LWVCEF-Stmt of Fin. Pos. by mth'!$AB$82,'LWVCEF-Stmt of Fin. Pos. by mth'!$AD$82,'LWVCEF-Stmt of Fin. Pos. by mth'!$H$83,'LWVCEF-Stmt of Fin. Pos. by mth'!$J$83,'LWVCEF-Stmt of Fin. Pos. by mth'!$L$83,'LWVCEF-Stmt of Fin. Pos. by mth'!$N$83</definedName>
    <definedName name="QB_FORMULA_9" localSheetId="8" hidden="1">'LWVCEF-Stmt. of Act. by Month'!#REF!,'LWVCEF-Stmt. of Act. by Month'!#REF!,'LWVCEF-Stmt. of Act. by Month'!#REF!,'LWVCEF-Stmt. of Act. by Month'!#REF!,'LWVCEF-Stmt. of Act. by Month'!#REF!,'LWVCEF-Stmt. of Act. by Month'!#REF!,'LWVCEF-Stmt. of Act. by Month'!#REF!,'LWVCEF-Stmt. of Act. by Month'!#REF!,'LWVCEF-Stmt. of Act. by Month'!#REF!,'LWVCEF-Stmt. of Act. by Month'!#REF!,'LWVCEF-Stmt. of Act. by Month'!#REF!,'LWVCEF-Stmt. of Act. by Month'!#REF!,'LWVCEF-Stmt. of Act. by Month'!#REF!,'LWVCEF-Stmt. of Act. by Month'!#REF!,'LWVCEF-Stmt. of Act. by Month'!#REF!,'LWVCEF-Stmt. of Act. by Month'!#REF!</definedName>
    <definedName name="QB_FORMULA_9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9" localSheetId="3" hidden="1">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</definedName>
    <definedName name="QB_FORMULA_9" localSheetId="4" hidden="1">'LWVC-Stmt of Fin. Postn. by Mth'!$H$49,'LWVC-Stmt of Fin. Postn. by Mth'!$J$49,'LWVC-Stmt of Fin. Postn. by Mth'!$L$49,'LWVC-Stmt of Fin. Postn. by Mth'!$N$49,'LWVC-Stmt of Fin. Postn. by Mth'!$P$49,'LWVC-Stmt of Fin. Postn. by Mth'!$R$49,'LWVC-Stmt of Fin. Postn. by Mth'!$T$49,'LWVC-Stmt of Fin. Postn. by Mth'!$V$49,'LWVC-Stmt of Fin. Postn. by Mth'!$X$49,'LWVC-Stmt of Fin. Postn. by Mth'!$Z$49,'LWVC-Stmt of Fin. Postn. by Mth'!$AB$49,'LWVC-Stmt of Fin. Postn. by Mth'!$AD$49,'LWVC-Stmt of Fin. Postn. by Mth'!$H$53,'LWVC-Stmt of Fin. Postn. by Mth'!$J$53,'LWVC-Stmt of Fin. Postn. by Mth'!$L$53,'LWVC-Stmt of Fin. Postn. by Mth'!$N$53</definedName>
    <definedName name="QB_ROW_1" localSheetId="9" hidden="1">'LWVCEF-Stmt of Fin. Pos. by mth'!$A$2</definedName>
    <definedName name="QB_ROW_1" localSheetId="4" hidden="1">'LWVC-Stmt of Fin. Postn. by Mth'!$A$2</definedName>
    <definedName name="QB_ROW_10031" localSheetId="9" hidden="1">'LWVCEF-Stmt of Fin. Pos. by mth'!$D$35</definedName>
    <definedName name="QB_ROW_10031" localSheetId="4" hidden="1">'LWVC-Stmt of Fin. Postn. by Mth'!$D$37</definedName>
    <definedName name="QB_ROW_1011" localSheetId="9" hidden="1">'LWVCEF-Stmt of Fin. Pos. by mth'!$B$3</definedName>
    <definedName name="QB_ROW_1011" localSheetId="4" hidden="1">'LWVC-Stmt of Fin. Postn. by Mth'!$B$3</definedName>
    <definedName name="QB_ROW_10331" localSheetId="9" hidden="1">'LWVCEF-Stmt of Fin. Pos. by mth'!$D$37</definedName>
    <definedName name="QB_ROW_10331" localSheetId="4" hidden="1">'LWVC-Stmt of Fin. Postn. by Mth'!$D$39</definedName>
    <definedName name="QB_ROW_11031" localSheetId="4" hidden="1">'LWVC-Stmt of Fin. Postn. by Mth'!$D$40</definedName>
    <definedName name="QB_ROW_11331" localSheetId="4" hidden="1">'LWVC-Stmt of Fin. Postn. by Mth'!$D$49</definedName>
    <definedName name="QB_ROW_12030" localSheetId="4" hidden="1">'LWVC-Stmt of Fin. Postn. by Mth'!$D$17</definedName>
    <definedName name="QB_ROW_12031" localSheetId="9" hidden="1">'LWVCEF-Stmt of Fin. Pos. by mth'!$D$38</definedName>
    <definedName name="QB_ROW_12031" localSheetId="4" hidden="1">'LWVC-Stmt of Fin. Postn. by Mth'!$D$50</definedName>
    <definedName name="QB_ROW_12240" localSheetId="4" hidden="1">'LWVC-Stmt of Fin. Postn. by Mth'!$E$19</definedName>
    <definedName name="QB_ROW_12330" localSheetId="4" hidden="1">'LWVC-Stmt of Fin. Postn. by Mth'!$D$20</definedName>
    <definedName name="QB_ROW_12331" localSheetId="9" hidden="1">'LWVCEF-Stmt of Fin. Pos. by mth'!$D$82</definedName>
    <definedName name="QB_ROW_12331" localSheetId="4" hidden="1">'LWVC-Stmt of Fin. Postn. by Mth'!$D$63</definedName>
    <definedName name="QB_ROW_1240" localSheetId="9" hidden="1">'LWVCEF-Stmt of Fin. Pos. by mth'!$E$80</definedName>
    <definedName name="QB_ROW_1240" localSheetId="4" hidden="1">'LWVC-Stmt of Fin. Postn. by Mth'!$E$61</definedName>
    <definedName name="QB_ROW_13021" localSheetId="4" hidden="1">'LWVC-Stmt of Fin. Postn. by Mth'!$C$65</definedName>
    <definedName name="QB_ROW_1311" localSheetId="9" hidden="1">'LWVCEF-Stmt of Fin. Pos. by mth'!$B$25</definedName>
    <definedName name="QB_ROW_1311" localSheetId="4" hidden="1">'LWVC-Stmt of Fin. Postn. by Mth'!$B$24</definedName>
    <definedName name="QB_ROW_13321" localSheetId="4" hidden="1">'LWVC-Stmt of Fin. Postn. by Mth'!$C$67</definedName>
    <definedName name="QB_ROW_135240" localSheetId="2" hidden="1">'LWVC-Stmt of Act. by Class'!#REF!</definedName>
    <definedName name="QB_ROW_135240" localSheetId="3" hidden="1">'LWVC-Stmt of Activities by Mth'!$E$39</definedName>
    <definedName name="QB_ROW_139340" localSheetId="2" hidden="1">'LWVC-Stmt of Act. by Class'!#REF!</definedName>
    <definedName name="QB_ROW_139340" localSheetId="3" hidden="1">'LWVC-Stmt of Activities by Mth'!$E$45</definedName>
    <definedName name="QB_ROW_14011" localSheetId="9" hidden="1">'LWVCEF-Stmt of Fin. Pos. by mth'!$B$85</definedName>
    <definedName name="QB_ROW_14011" localSheetId="4" hidden="1">'LWVC-Stmt of Fin. Postn. by Mth'!$B$69</definedName>
    <definedName name="QB_ROW_140240" localSheetId="2" hidden="1">'LWVC-Stmt of Act. by Class'!#REF!</definedName>
    <definedName name="QB_ROW_140240" localSheetId="3" hidden="1">'LWVC-Stmt of Activities by Mth'!$E$43</definedName>
    <definedName name="QB_ROW_141240" localSheetId="2" hidden="1">'LWVC-Stmt of Act. by Class'!#REF!</definedName>
    <definedName name="QB_ROW_141240" localSheetId="3" hidden="1">'LWVC-Stmt of Activities by Mth'!$E$44</definedName>
    <definedName name="QB_ROW_142240" localSheetId="2" hidden="1">'LWVC-Stmt of Act. by Class'!#REF!</definedName>
    <definedName name="QB_ROW_142240" localSheetId="3" hidden="1">'LWVC-Stmt of Activities by Mth'!$E$47</definedName>
    <definedName name="QB_ROW_14311" localSheetId="9" hidden="1">'LWVCEF-Stmt of Fin. Pos. by mth'!#REF!</definedName>
    <definedName name="QB_ROW_14311" localSheetId="4" hidden="1">'LWVC-Stmt of Fin. Postn. by Mth'!$B$81</definedName>
    <definedName name="QB_ROW_143240" localSheetId="2" hidden="1">'LWVC-Stmt of Act. by Class'!#REF!</definedName>
    <definedName name="QB_ROW_143240" localSheetId="3" hidden="1">'LWVC-Stmt of Activities by Mth'!$E$42</definedName>
    <definedName name="QB_ROW_144340" localSheetId="2" hidden="1">'LWVC-Stmt of Act. by Class'!#REF!</definedName>
    <definedName name="QB_ROW_144340" localSheetId="3" hidden="1">'LWVC-Stmt of Activities by Mth'!$E$46</definedName>
    <definedName name="QB_ROW_15040" localSheetId="2" hidden="1">'LWVC-Stmt of Act. by Class'!#REF!</definedName>
    <definedName name="QB_ROW_15040" localSheetId="3" hidden="1">'LWVC-Stmt of Activities by Mth'!$E$17</definedName>
    <definedName name="QB_ROW_15340" localSheetId="2" hidden="1">'LWVC-Stmt of Act. by Class'!#REF!</definedName>
    <definedName name="QB_ROW_15340" localSheetId="3" hidden="1">'LWVC-Stmt of Activities by Mth'!$E$30</definedName>
    <definedName name="QB_ROW_15350" localSheetId="10" hidden="1">'FASB117 '!$F$25</definedName>
    <definedName name="QB_ROW_15350" localSheetId="8" hidden="1">'LWVCEF-Stmt. of Act. by Month'!$F$20</definedName>
    <definedName name="QB_ROW_16040" localSheetId="2" hidden="1">'LWVC-Stmt of Act. by Class'!#REF!</definedName>
    <definedName name="QB_ROW_16040" localSheetId="3" hidden="1">'LWVC-Stmt of Activities by Mth'!$E$4</definedName>
    <definedName name="QB_ROW_163240" localSheetId="4" hidden="1">'LWVC-Stmt of Fin. Postn. by Mth'!$E$60</definedName>
    <definedName name="QB_ROW_16340" localSheetId="2" hidden="1">'LWVC-Stmt of Act. by Class'!#REF!</definedName>
    <definedName name="QB_ROW_16340" localSheetId="3" hidden="1">'LWVC-Stmt of Activities by Mth'!$E$8</definedName>
    <definedName name="QB_ROW_165240" localSheetId="4" hidden="1">'LWVC-Stmt of Fin. Postn. by Mth'!$E$38</definedName>
    <definedName name="QB_ROW_166340" localSheetId="10" hidden="1">'FASB117 '!$E$45</definedName>
    <definedName name="QB_ROW_166340" localSheetId="8" hidden="1">'LWVCEF-Stmt. of Act. by Month'!$E$32</definedName>
    <definedName name="QB_ROW_169220" localSheetId="4" hidden="1">'LWVC-Stmt of Fin. Postn. by Mth'!$C$27</definedName>
    <definedName name="QB_ROW_171220" localSheetId="4" hidden="1">'LWVC-Stmt of Fin. Postn. by Mth'!$C$28</definedName>
    <definedName name="QB_ROW_171240" localSheetId="10" hidden="1">'FASB117 '!#REF!</definedName>
    <definedName name="QB_ROW_171240" localSheetId="8" hidden="1">'LWVCEF-Stmt. of Act. by Month'!$E$38</definedName>
    <definedName name="QB_ROW_17221" localSheetId="9" hidden="1">'LWVCEF-Stmt of Fin. Pos. by mth'!#REF!</definedName>
    <definedName name="QB_ROW_17221" localSheetId="4" hidden="1">'LWVC-Stmt of Fin. Postn. by Mth'!$C$80</definedName>
    <definedName name="QB_ROW_172240" localSheetId="10" hidden="1">'FASB117 '!$E$50</definedName>
    <definedName name="QB_ROW_172240" localSheetId="8" hidden="1">'LWVCEF-Stmt. of Act. by Month'!$E$36</definedName>
    <definedName name="QB_ROW_17250" localSheetId="2" hidden="1">'LWVC-Stmt of Act. by Class'!#REF!</definedName>
    <definedName name="QB_ROW_17250" localSheetId="3" hidden="1">'LWVC-Stmt of Activities by Mth'!$F$7</definedName>
    <definedName name="QB_ROW_173230" localSheetId="4" hidden="1">'LWVC-Stmt of Fin. Postn. by Mth'!$D$11</definedName>
    <definedName name="QB_ROW_173240" localSheetId="10" hidden="1">'FASB117 '!$E$51</definedName>
    <definedName name="QB_ROW_173240" localSheetId="8" hidden="1">'LWVCEF-Stmt. of Act. by Month'!$E$37</definedName>
    <definedName name="QB_ROW_174240" localSheetId="10" hidden="1">'FASB117 '!#REF!</definedName>
    <definedName name="QB_ROW_174240" localSheetId="8" hidden="1">'LWVCEF-Stmt. of Act. by Month'!$E$40</definedName>
    <definedName name="QB_ROW_175240" localSheetId="10" hidden="1">'FASB117 '!$E$49</definedName>
    <definedName name="QB_ROW_175240" localSheetId="8" hidden="1">'LWVCEF-Stmt. of Act. by Month'!$E$35</definedName>
    <definedName name="QB_ROW_176340" localSheetId="10" hidden="1">'FASB117 '!#REF!</definedName>
    <definedName name="QB_ROW_176340" localSheetId="8" hidden="1">'LWVCEF-Stmt. of Act. by Month'!$E$39</definedName>
    <definedName name="QB_ROW_178250" localSheetId="3" hidden="1">'LWVC-Stmt of Activities by Mth'!$F$22</definedName>
    <definedName name="QB_ROW_18220" localSheetId="4" hidden="1">'LWVC-Stmt of Fin. Postn. by Mth'!$C$70</definedName>
    <definedName name="QB_ROW_18301" localSheetId="10" hidden="1">'FASB117 '!#REF!</definedName>
    <definedName name="QB_ROW_18301" localSheetId="8" hidden="1">'LWVCEF-Stmt. of Act. by Month'!#REF!</definedName>
    <definedName name="QB_ROW_18301" localSheetId="2" hidden="1">'LWVC-Stmt of Act. by Class'!#REF!</definedName>
    <definedName name="QB_ROW_18301" localSheetId="3" hidden="1">'LWVC-Stmt of Activities by Mth'!#REF!</definedName>
    <definedName name="QB_ROW_190040" localSheetId="4" hidden="1">'LWVC-Stmt of Fin. Postn. by Mth'!$E$41</definedName>
    <definedName name="QB_ROW_19011" localSheetId="10" hidden="1">'FASB117 '!$B$2</definedName>
    <definedName name="QB_ROW_19011" localSheetId="8" hidden="1">'LWVCEF-Stmt. of Act. by Month'!$B$2</definedName>
    <definedName name="QB_ROW_19011" localSheetId="2" hidden="1">'LWVC-Stmt of Act. by Class'!#REF!</definedName>
    <definedName name="QB_ROW_19011" localSheetId="3" hidden="1">'LWVC-Stmt of Activities by Mth'!$B$2</definedName>
    <definedName name="QB_ROW_190250" localSheetId="9" hidden="1">'LWVCEF-Stmt of Fin. Pos. by mth'!$F$45</definedName>
    <definedName name="QB_ROW_190250" localSheetId="4" hidden="1">'LWVC-Stmt of Fin. Postn. by Mth'!$F$47</definedName>
    <definedName name="QB_ROW_190340" localSheetId="4" hidden="1">'LWVC-Stmt of Fin. Postn. by Mth'!$E$48</definedName>
    <definedName name="QB_ROW_19250" localSheetId="2" hidden="1">'LWVC-Stmt of Act. by Class'!#REF!</definedName>
    <definedName name="QB_ROW_19250" localSheetId="3" hidden="1">'LWVC-Stmt of Activities by Mth'!$F$21</definedName>
    <definedName name="QB_ROW_19311" localSheetId="10" hidden="1">'FASB117 '!#REF!</definedName>
    <definedName name="QB_ROW_19311" localSheetId="8" hidden="1">'LWVCEF-Stmt. of Act. by Month'!$B$46</definedName>
    <definedName name="QB_ROW_19311" localSheetId="2" hidden="1">'LWVC-Stmt of Act. by Class'!#REF!</definedName>
    <definedName name="QB_ROW_19311" localSheetId="3" hidden="1">'LWVC-Stmt of Activities by Mth'!#REF!</definedName>
    <definedName name="QB_ROW_194220" localSheetId="4" hidden="1">'LWVC-Stmt of Fin. Postn. by Mth'!$C$31</definedName>
    <definedName name="QB_ROW_194250" localSheetId="9" hidden="1">'LWVCEF-Stmt of Fin. Pos. by mth'!$F$46</definedName>
    <definedName name="QB_ROW_195240" localSheetId="2" hidden="1">'LWVC-Stmt of Act. by Class'!#REF!</definedName>
    <definedName name="QB_ROW_195240" localSheetId="3" hidden="1">'LWVC-Stmt of Activities by Mth'!$E$52</definedName>
    <definedName name="QB_ROW_196230" localSheetId="4" hidden="1">'LWVC-Stmt of Fin. Postn. by Mth'!$D$16</definedName>
    <definedName name="QB_ROW_196350" localSheetId="9" hidden="1">'LWVCEF-Stmt of Fin. Pos. by mth'!$F$47</definedName>
    <definedName name="QB_ROW_198350" localSheetId="9" hidden="1">'LWVCEF-Stmt of Fin. Pos. by mth'!$F$48</definedName>
    <definedName name="QB_ROW_199240" localSheetId="2" hidden="1">'LWVC-Stmt of Act. by Class'!#REF!</definedName>
    <definedName name="QB_ROW_199250" localSheetId="9" hidden="1">'LWVCEF-Stmt of Fin. Pos. by mth'!$F$49</definedName>
    <definedName name="QB_ROW_200230" localSheetId="4" hidden="1">'LWVC-Stmt of Fin. Postn. by Mth'!$D$14</definedName>
    <definedName name="QB_ROW_20031" localSheetId="10" hidden="1">'FASB117 '!$D$3</definedName>
    <definedName name="QB_ROW_20031" localSheetId="8" hidden="1">'LWVCEF-Stmt. of Act. by Month'!$D$3</definedName>
    <definedName name="QB_ROW_20031" localSheetId="2" hidden="1">'LWVC-Stmt of Act. by Class'!#REF!</definedName>
    <definedName name="QB_ROW_20031" localSheetId="3" hidden="1">'LWVC-Stmt of Activities by Mth'!$D$3</definedName>
    <definedName name="QB_ROW_2021" localSheetId="9" hidden="1">'LWVCEF-Stmt of Fin. Pos. by mth'!$C$4</definedName>
    <definedName name="QB_ROW_2021" localSheetId="4" hidden="1">'LWVC-Stmt of Fin. Postn. by Mth'!$C$4</definedName>
    <definedName name="QB_ROW_20331" localSheetId="10" hidden="1">'FASB117 '!$D$34</definedName>
    <definedName name="QB_ROW_20331" localSheetId="8" hidden="1">'LWVCEF-Stmt. of Act. by Month'!$D$25</definedName>
    <definedName name="QB_ROW_20331" localSheetId="2" hidden="1">'LWVC-Stmt of Act. by Class'!#REF!</definedName>
    <definedName name="QB_ROW_20331" localSheetId="3" hidden="1">'LWVC-Stmt of Activities by Mth'!$D$34</definedName>
    <definedName name="QB_ROW_20350" localSheetId="2" hidden="1">'LWVC-Stmt of Act. by Class'!#REF!</definedName>
    <definedName name="QB_ROW_20350" localSheetId="3" hidden="1">'LWVC-Stmt of Activities by Mth'!$F$23</definedName>
    <definedName name="QB_ROW_205040" localSheetId="2" hidden="1">'LWVC-Stmt of Act. by Class'!#REF!</definedName>
    <definedName name="QB_ROW_205040" localSheetId="3" hidden="1">'LWVC-Stmt of Activities by Mth'!$E$9</definedName>
    <definedName name="QB_ROW_205340" localSheetId="2" hidden="1">'LWVC-Stmt of Act. by Class'!#REF!</definedName>
    <definedName name="QB_ROW_205340" localSheetId="3" hidden="1">'LWVC-Stmt of Activities by Mth'!$E$16</definedName>
    <definedName name="QB_ROW_205350" localSheetId="9" hidden="1">'LWVCEF-Stmt of Fin. Pos. by mth'!$F$50</definedName>
    <definedName name="QB_ROW_206250" localSheetId="9" hidden="1">'LWVCEF-Stmt of Fin. Pos. by mth'!$F$51</definedName>
    <definedName name="QB_ROW_207250" localSheetId="9" hidden="1">'LWVCEF-Stmt of Fin. Pos. by mth'!$F$52</definedName>
    <definedName name="QB_ROW_207250" localSheetId="2" hidden="1">'LWVC-Stmt of Act. by Class'!#REF!</definedName>
    <definedName name="QB_ROW_209250" localSheetId="2" hidden="1">'LWVC-Stmt of Act. by Class'!#REF!</definedName>
    <definedName name="QB_ROW_209250" localSheetId="3" hidden="1">'LWVC-Stmt of Activities by Mth'!$F$13</definedName>
    <definedName name="QB_ROW_210240" localSheetId="2" hidden="1">'LWVC-Stmt of Act. by Class'!#REF!</definedName>
    <definedName name="QB_ROW_210240" localSheetId="3" hidden="1">'LWVC-Stmt of Activities by Mth'!$E$41</definedName>
    <definedName name="QB_ROW_21031" localSheetId="10" hidden="1">'FASB117 '!$D$42</definedName>
    <definedName name="QB_ROW_21031" localSheetId="8" hidden="1">'LWVCEF-Stmt. of Act. by Month'!$D$30</definedName>
    <definedName name="QB_ROW_21031" localSheetId="2" hidden="1">'LWVC-Stmt of Act. by Class'!#REF!</definedName>
    <definedName name="QB_ROW_21031" localSheetId="3" hidden="1">'LWVC-Stmt of Activities by Mth'!$D$37</definedName>
    <definedName name="QB_ROW_211240" localSheetId="2" hidden="1">'LWVC-Stmt of Act. by Class'!#REF!</definedName>
    <definedName name="QB_ROW_211240" localSheetId="3" hidden="1">'LWVC-Stmt of Activities by Mth'!$E$48</definedName>
    <definedName name="QB_ROW_212240" localSheetId="2" hidden="1">'LWVC-Stmt of Act. by Class'!#REF!</definedName>
    <definedName name="QB_ROW_212240" localSheetId="3" hidden="1">'LWVC-Stmt of Activities by Mth'!$E$51</definedName>
    <definedName name="QB_ROW_213250" localSheetId="9" hidden="1">'LWVCEF-Stmt of Fin. Pos. by mth'!$F$53</definedName>
    <definedName name="QB_ROW_213250" localSheetId="2" hidden="1">'LWVC-Stmt of Act. by Class'!#REF!</definedName>
    <definedName name="QB_ROW_213250" localSheetId="3" hidden="1">'LWVC-Stmt of Activities by Mth'!$F$6</definedName>
    <definedName name="QB_ROW_21331" localSheetId="10" hidden="1">'FASB117 '!#REF!</definedName>
    <definedName name="QB_ROW_21331" localSheetId="8" hidden="1">'LWVCEF-Stmt. of Act. by Month'!$D$45</definedName>
    <definedName name="QB_ROW_21331" localSheetId="2" hidden="1">'LWVC-Stmt of Act. by Class'!#REF!</definedName>
    <definedName name="QB_ROW_21331" localSheetId="3" hidden="1">'LWVC-Stmt of Activities by Mth'!$D$55</definedName>
    <definedName name="QB_ROW_214340" localSheetId="2" hidden="1">'LWVC-Stmt of Act. by Class'!#REF!</definedName>
    <definedName name="QB_ROW_214340" localSheetId="3" hidden="1">'LWVC-Stmt of Activities by Mth'!$E$38</definedName>
    <definedName name="QB_ROW_218250" localSheetId="2" hidden="1">'LWVC-Stmt of Act. by Class'!#REF!</definedName>
    <definedName name="QB_ROW_218250" localSheetId="3" hidden="1">'LWVC-Stmt of Activities by Mth'!$F$10</definedName>
    <definedName name="QB_ROW_219250" localSheetId="9" hidden="1">'LWVCEF-Stmt of Fin. Pos. by mth'!$F$54</definedName>
    <definedName name="QB_ROW_22011" localSheetId="8" hidden="1">'LWVCEF-Stmt. of Act. by Month'!#REF!</definedName>
    <definedName name="QB_ROW_22011" localSheetId="2" hidden="1">'LWVC-Stmt of Act. by Class'!#REF!</definedName>
    <definedName name="QB_ROW_220250" localSheetId="9" hidden="1">'LWVCEF-Stmt of Fin. Pos. by mth'!$F$55</definedName>
    <definedName name="QB_ROW_22040" localSheetId="10" hidden="1">'FASB117 '!$E$4</definedName>
    <definedName name="QB_ROW_22040" localSheetId="8" hidden="1">'LWVCEF-Stmt. of Act. by Month'!$E$4</definedName>
    <definedName name="QB_ROW_221250" localSheetId="9" hidden="1">'LWVCEF-Stmt of Fin. Pos. by mth'!$F$56</definedName>
    <definedName name="QB_ROW_222250" localSheetId="9" hidden="1">'LWVCEF-Stmt of Fin. Pos. by mth'!$F$57</definedName>
    <definedName name="QB_ROW_22311" localSheetId="8" hidden="1">'LWVCEF-Stmt. of Act. by Month'!#REF!</definedName>
    <definedName name="QB_ROW_22311" localSheetId="2" hidden="1">'LWVC-Stmt of Act. by Class'!#REF!</definedName>
    <definedName name="QB_ROW_22311" localSheetId="3" hidden="1">'LWVC-Stmt of Activities by Mth'!#REF!</definedName>
    <definedName name="QB_ROW_22340" localSheetId="10" hidden="1">'FASB117 '!$E$19</definedName>
    <definedName name="QB_ROW_22340" localSheetId="8" hidden="1">'LWVCEF-Stmt. of Act. by Month'!$E$15</definedName>
    <definedName name="QB_ROW_224250" localSheetId="9" hidden="1">'LWVCEF-Stmt of Fin. Pos. by mth'!$F$58</definedName>
    <definedName name="QB_ROW_226250" localSheetId="9" hidden="1">'LWVCEF-Stmt of Fin. Pos. by mth'!$F$59</definedName>
    <definedName name="QB_ROW_226250" localSheetId="2" hidden="1">'LWVC-Stmt of Act. by Class'!#REF!</definedName>
    <definedName name="QB_ROW_226250" localSheetId="3" hidden="1">'LWVC-Stmt of Activities by Mth'!$F$5</definedName>
    <definedName name="QB_ROW_227050" localSheetId="9" hidden="1">'LWVCEF-Stmt of Fin. Pos. by mth'!$F$60</definedName>
    <definedName name="QB_ROW_227260" localSheetId="9" hidden="1">'LWVCEF-Stmt of Fin. Pos. by mth'!$G$62</definedName>
    <definedName name="QB_ROW_227350" localSheetId="9" hidden="1">'LWVCEF-Stmt of Fin. Pos. by mth'!$F$63</definedName>
    <definedName name="QB_ROW_228250" localSheetId="9" hidden="1">'LWVCEF-Stmt of Fin. Pos. by mth'!$F$64</definedName>
    <definedName name="QB_ROW_229230" localSheetId="4" hidden="1">'LWVC-Stmt of Fin. Postn. by Mth'!$D$21</definedName>
    <definedName name="QB_ROW_229250" localSheetId="9" hidden="1">'LWVCEF-Stmt of Fin. Pos. by mth'!$F$65</definedName>
    <definedName name="QB_ROW_2321" localSheetId="9" hidden="1">'LWVCEF-Stmt of Fin. Pos. by mth'!$C$11</definedName>
    <definedName name="QB_ROW_2321" localSheetId="4" hidden="1">'LWVC-Stmt of Fin. Postn. by Mth'!$C$9</definedName>
    <definedName name="QB_ROW_23250" localSheetId="10" hidden="1">'FASB117 '!$F$11</definedName>
    <definedName name="QB_ROW_23250" localSheetId="8" hidden="1">'LWVCEF-Stmt. of Act. by Month'!$F$10</definedName>
    <definedName name="QB_ROW_23321" localSheetId="8" hidden="1">'LWVCEF-Stmt. of Act. by Month'!#REF!</definedName>
    <definedName name="QB_ROW_235250" localSheetId="9" hidden="1">'LWVCEF-Stmt of Fin. Pos. by mth'!$F$66</definedName>
    <definedName name="QB_ROW_238240" localSheetId="2" hidden="1">'LWVC-Stmt of Act. by Class'!#REF!</definedName>
    <definedName name="QB_ROW_238350" localSheetId="9" hidden="1">'LWVCEF-Stmt of Fin. Pos. by mth'!$F$67</definedName>
    <definedName name="QB_ROW_239350" localSheetId="9" hidden="1">'LWVCEF-Stmt of Fin. Pos. by mth'!$F$68</definedName>
    <definedName name="QB_ROW_24021" localSheetId="2" hidden="1">'LWVC-Stmt of Act. by Class'!#REF!</definedName>
    <definedName name="QB_ROW_240240" localSheetId="4" hidden="1">'LWVC-Stmt of Fin. Postn. by Mth'!$E$6</definedName>
    <definedName name="QB_ROW_24321" localSheetId="2" hidden="1">'LWVC-Stmt of Act. by Class'!#REF!</definedName>
    <definedName name="QB_ROW_244240" localSheetId="4" hidden="1">'LWVC-Stmt of Fin. Postn. by Mth'!$E$62</definedName>
    <definedName name="QB_ROW_245250" localSheetId="9" hidden="1">'LWVCEF-Stmt of Fin. Pos. by mth'!$F$69</definedName>
    <definedName name="QB_ROW_246350" localSheetId="9" hidden="1">'LWVCEF-Stmt of Fin. Pos. by mth'!$F$70</definedName>
    <definedName name="QB_ROW_247230" localSheetId="4" hidden="1">'LWVC-Stmt of Fin. Postn. by Mth'!$D$22</definedName>
    <definedName name="QB_ROW_247350" localSheetId="9" hidden="1">'LWVCEF-Stmt of Fin. Pos. by mth'!$F$71</definedName>
    <definedName name="QB_ROW_248050" localSheetId="4" hidden="1">'LWVC-Stmt of Fin. Postn. by Mth'!$F$42</definedName>
    <definedName name="QB_ROW_248350" localSheetId="4" hidden="1">'LWVC-Stmt of Fin. Postn. by Mth'!$F$46</definedName>
    <definedName name="QB_ROW_250250" localSheetId="9" hidden="1">'LWVCEF-Stmt of Fin. Pos. by mth'!$F$72</definedName>
    <definedName name="QB_ROW_252350" localSheetId="9" hidden="1">'LWVCEF-Stmt of Fin. Pos. by mth'!$F$73</definedName>
    <definedName name="QB_ROW_25250" localSheetId="10" hidden="1">'FASB117 '!$F$13</definedName>
    <definedName name="QB_ROW_25250" localSheetId="8" hidden="1">'LWVCEF-Stmt. of Act. by Month'!$F$12</definedName>
    <definedName name="QB_ROW_253230" localSheetId="2" hidden="1">'LWVC-Stmt of Act. by Class'!#REF!</definedName>
    <definedName name="QB_ROW_254230" localSheetId="4" hidden="1">'LWVC-Stmt of Fin. Postn. by Mth'!$D$66</definedName>
    <definedName name="QB_ROW_256220" localSheetId="4" hidden="1">'LWVC-Stmt of Fin. Postn. by Mth'!$C$26</definedName>
    <definedName name="QB_ROW_256350" localSheetId="9" hidden="1">'LWVCEF-Stmt of Fin. Pos. by mth'!$F$74</definedName>
    <definedName name="QB_ROW_257240" localSheetId="2" hidden="1">'LWVC-Stmt of Act. by Class'!#REF!</definedName>
    <definedName name="QB_ROW_257240" localSheetId="3" hidden="1">'LWVC-Stmt of Activities by Mth'!$E$31</definedName>
    <definedName name="QB_ROW_257250" localSheetId="9" hidden="1">'LWVCEF-Stmt of Fin. Pos. by mth'!$F$75</definedName>
    <definedName name="QB_ROW_260230" localSheetId="4" hidden="1">'LWVC-Stmt of Fin. Postn. by Mth'!$D$15</definedName>
    <definedName name="QB_ROW_261250" localSheetId="9" hidden="1">'LWVCEF-Stmt of Fin. Pos. by mth'!$F$76</definedName>
    <definedName name="QB_ROW_264250" localSheetId="9" hidden="1">'LWVCEF-Stmt of Fin. Pos. by mth'!$F$77</definedName>
    <definedName name="QB_ROW_265260" localSheetId="4" hidden="1">'LWVC-Stmt of Fin. Postn. by Mth'!$G$43</definedName>
    <definedName name="QB_ROW_266240" localSheetId="4" hidden="1">'LWVC-Stmt of Fin. Postn. by Mth'!$E$7</definedName>
    <definedName name="QB_ROW_267260" localSheetId="4" hidden="1">'LWVC-Stmt of Fin. Postn. by Mth'!$G$44</definedName>
    <definedName name="QB_ROW_268340" localSheetId="2" hidden="1">'LWVC-Stmt of Act. by Class'!#REF!</definedName>
    <definedName name="QB_ROW_268340" localSheetId="3" hidden="1">'LWVC-Stmt of Activities by Mth'!$E$33</definedName>
    <definedName name="QB_ROW_27050" localSheetId="2" hidden="1">'LWVC-Stmt of Act. by Class'!#REF!</definedName>
    <definedName name="QB_ROW_27050" localSheetId="3" hidden="1">'LWVC-Stmt of Activities by Mth'!$F$24</definedName>
    <definedName name="QB_ROW_271240" localSheetId="9" hidden="1">'LWVCEF-Stmt of Fin. Pos. by mth'!$E$36</definedName>
    <definedName name="QB_ROW_27260" localSheetId="3" hidden="1">'LWVC-Stmt of Activities by Mth'!$G$28</definedName>
    <definedName name="QB_ROW_27350" localSheetId="2" hidden="1">'LWVC-Stmt of Act. by Class'!#REF!</definedName>
    <definedName name="QB_ROW_27350" localSheetId="3" hidden="1">'LWVC-Stmt of Activities by Mth'!$F$29</definedName>
    <definedName name="QB_ROW_283240" localSheetId="4" hidden="1">'LWVC-Stmt of Fin. Postn. by Mth'!$E$18</definedName>
    <definedName name="QB_ROW_284240" localSheetId="2" hidden="1">'LWVC-Stmt of Act. by Class'!#REF!</definedName>
    <definedName name="QB_ROW_284240" localSheetId="3" hidden="1">'LWVC-Stmt of Activities by Mth'!$E$40</definedName>
    <definedName name="QB_ROW_287250" localSheetId="2" hidden="1">'LWVC-Stmt of Act. by Class'!#REF!</definedName>
    <definedName name="QB_ROW_287250" localSheetId="3" hidden="1">'LWVC-Stmt of Activities by Mth'!$F$11</definedName>
    <definedName name="QB_ROW_289260" localSheetId="2" hidden="1">'LWVC-Stmt of Act. by Class'!#REF!</definedName>
    <definedName name="QB_ROW_289260" localSheetId="3" hidden="1">'LWVC-Stmt of Activities by Mth'!$G$25</definedName>
    <definedName name="QB_ROW_291230" localSheetId="9" hidden="1">'LWVCEF-Stmt of Fin. Pos. by mth'!$D$92</definedName>
    <definedName name="QB_ROW_291260" localSheetId="4" hidden="1">'LWVC-Stmt of Fin. Postn. by Mth'!$G$45</definedName>
    <definedName name="QB_ROW_294250" localSheetId="2" hidden="1">'LWVC-Stmt of Act. by Class'!#REF!</definedName>
    <definedName name="QB_ROW_294250" localSheetId="3" hidden="1">'LWVC-Stmt of Activities by Mth'!$F$15</definedName>
    <definedName name="QB_ROW_295240" localSheetId="4" hidden="1">'LWVC-Stmt of Fin. Postn. by Mth'!$E$59</definedName>
    <definedName name="QB_ROW_297020" localSheetId="4" hidden="1">'LWVC-Stmt of Fin. Postn. by Mth'!$C$71</definedName>
    <definedName name="QB_ROW_297320" localSheetId="4" hidden="1">'LWVC-Stmt of Fin. Postn. by Mth'!$C$76</definedName>
    <definedName name="QB_ROW_298230" localSheetId="4" hidden="1">'LWVC-Stmt of Fin. Postn. by Mth'!$D$72</definedName>
    <definedName name="QB_ROW_299230" localSheetId="4" hidden="1">'LWVC-Stmt of Fin. Postn. by Mth'!$D$73</definedName>
    <definedName name="QB_ROW_300260" localSheetId="2" hidden="1">'LWVC-Stmt of Act. by Class'!#REF!</definedName>
    <definedName name="QB_ROW_300260" localSheetId="3" hidden="1">'LWVC-Stmt of Activities by Mth'!$G$26</definedName>
    <definedName name="QB_ROW_301" localSheetId="9" hidden="1">'LWVCEF-Stmt of Fin. Pos. by mth'!$A$31</definedName>
    <definedName name="QB_ROW_301" localSheetId="4" hidden="1">'LWVC-Stmt of Fin. Postn. by Mth'!$A$33</definedName>
    <definedName name="QB_ROW_301260" localSheetId="2" hidden="1">'LWVC-Stmt of Act. by Class'!#REF!</definedName>
    <definedName name="QB_ROW_301260" localSheetId="3" hidden="1">'LWVC-Stmt of Activities by Mth'!$G$27</definedName>
    <definedName name="QB_ROW_3021" localSheetId="9" hidden="1">'LWVCEF-Stmt of Fin. Pos. by mth'!$C$12</definedName>
    <definedName name="QB_ROW_3021" localSheetId="4" hidden="1">'LWVC-Stmt of Fin. Postn. by Mth'!$C$10</definedName>
    <definedName name="QB_ROW_302230" localSheetId="4" hidden="1">'LWVC-Stmt of Fin. Postn. by Mth'!$D$74</definedName>
    <definedName name="QB_ROW_303230" localSheetId="4" hidden="1">'LWVC-Stmt of Fin. Postn. by Mth'!$D$75</definedName>
    <definedName name="QB_ROW_3040" localSheetId="4" hidden="1">'LWVC-Stmt of Fin. Postn. by Mth'!$E$55</definedName>
    <definedName name="QB_ROW_304240" localSheetId="2" hidden="1">'LWVC-Stmt of Act. by Class'!#REF!</definedName>
    <definedName name="QB_ROW_304240" localSheetId="3" hidden="1">'LWVC-Stmt of Activities by Mth'!$E$53</definedName>
    <definedName name="QB_ROW_305250" localSheetId="4" hidden="1">'LWVC-Stmt of Fin. Postn. by Mth'!$F$56</definedName>
    <definedName name="QB_ROW_306040" localSheetId="4" hidden="1">'LWVC-Stmt of Fin. Postn. by Mth'!$E$51</definedName>
    <definedName name="QB_ROW_306340" localSheetId="4" hidden="1">'LWVC-Stmt of Fin. Postn. by Mth'!$E$53</definedName>
    <definedName name="QB_ROW_307250" localSheetId="4" hidden="1">'LWVC-Stmt of Fin. Postn. by Mth'!$F$52</definedName>
    <definedName name="QB_ROW_308020" localSheetId="4" hidden="1">'LWVC-Stmt of Fin. Postn. by Mth'!$C$77</definedName>
    <definedName name="QB_ROW_308320" localSheetId="4" hidden="1">'LWVC-Stmt of Fin. Postn. by Mth'!$C$79</definedName>
    <definedName name="QB_ROW_309230" localSheetId="4" hidden="1">'LWVC-Stmt of Fin. Postn. by Mth'!$D$78</definedName>
    <definedName name="QB_ROW_310250" localSheetId="3" hidden="1">'LWVC-Stmt of Activities by Mth'!$F$14</definedName>
    <definedName name="QB_ROW_31250" localSheetId="10" hidden="1">'FASB117 '!$F$21</definedName>
    <definedName name="QB_ROW_31250" localSheetId="8" hidden="1">'LWVCEF-Stmt. of Act. by Month'!$F$17</definedName>
    <definedName name="QB_ROW_313240" localSheetId="3" hidden="1">'LWVC-Stmt of Activities by Mth'!$E$54</definedName>
    <definedName name="QB_ROW_313250" localSheetId="10" hidden="1">'FASB117 '!$F$23</definedName>
    <definedName name="QB_ROW_313250" localSheetId="8" hidden="1">'LWVCEF-Stmt. of Act. by Month'!$F$19</definedName>
    <definedName name="QB_ROW_32250" localSheetId="10" hidden="1">'FASB117 '!$F$22</definedName>
    <definedName name="QB_ROW_32250" localSheetId="8" hidden="1">'LWVCEF-Stmt. of Act. by Month'!$F$18</definedName>
    <definedName name="QB_ROW_3250" localSheetId="4" hidden="1">'LWVC-Stmt of Fin. Postn. by Mth'!$F$57</definedName>
    <definedName name="QB_ROW_3321" localSheetId="9" hidden="1">'LWVCEF-Stmt of Fin. Pos. by mth'!$C$14</definedName>
    <definedName name="QB_ROW_3321" localSheetId="4" hidden="1">'LWVC-Stmt of Fin. Postn. by Mth'!$C$12</definedName>
    <definedName name="QB_ROW_33250" localSheetId="2" hidden="1">'LWVC-Stmt of Act. by Class'!#REF!</definedName>
    <definedName name="QB_ROW_33250" localSheetId="3" hidden="1">'LWVC-Stmt of Activities by Mth'!$F$12</definedName>
    <definedName name="QB_ROW_3340" localSheetId="4" hidden="1">'LWVC-Stmt of Fin. Postn. by Mth'!$E$58</definedName>
    <definedName name="QB_ROW_369230" localSheetId="9" hidden="1">'LWVCEF-Stmt of Fin. Pos. by mth'!$D$13</definedName>
    <definedName name="QB_ROW_378340" localSheetId="10" hidden="1">'FASB117 '!#REF!</definedName>
    <definedName name="QB_ROW_378340" localSheetId="8" hidden="1">'LWVCEF-Stmt. of Act. by Month'!$E$41</definedName>
    <definedName name="QB_ROW_379340" localSheetId="10" hidden="1">'FASB117 '!#REF!</definedName>
    <definedName name="QB_ROW_379340" localSheetId="8" hidden="1">'LWVCEF-Stmt. of Act. by Month'!$E$44</definedName>
    <definedName name="QB_ROW_38250" localSheetId="2" hidden="1">'LWVC-Stmt of Act. by Class'!#REF!</definedName>
    <definedName name="QB_ROW_38250" localSheetId="3" hidden="1">'LWVC-Stmt of Activities by Mth'!$F$18</definedName>
    <definedName name="QB_ROW_386240" localSheetId="10" hidden="1">'FASB117 '!$E$36</definedName>
    <definedName name="QB_ROW_386240" localSheetId="8" hidden="1">'LWVCEF-Stmt. of Act. by Month'!$E$27</definedName>
    <definedName name="QB_ROW_39250" localSheetId="2" hidden="1">'LWVC-Stmt of Act. by Class'!#REF!</definedName>
    <definedName name="QB_ROW_39250" localSheetId="3" hidden="1">'LWVC-Stmt of Activities by Mth'!$F$19</definedName>
    <definedName name="QB_ROW_395020" localSheetId="9" hidden="1">'LWVCEF-Stmt of Fin. Pos. by mth'!$C$91</definedName>
    <definedName name="QB_ROW_395320" localSheetId="9" hidden="1">'LWVCEF-Stmt of Fin. Pos. by mth'!#REF!</definedName>
    <definedName name="QB_ROW_397340" localSheetId="10" hidden="1">'FASB117 '!#REF!</definedName>
    <definedName name="QB_ROW_397340" localSheetId="8" hidden="1">'LWVCEF-Stmt. of Act. by Month'!$E$42</definedName>
    <definedName name="QB_ROW_401250" localSheetId="10" hidden="1">'FASB117 '!$F$17</definedName>
    <definedName name="QB_ROW_4021" localSheetId="9" hidden="1">'LWVCEF-Stmt of Fin. Pos. by mth'!$C$15</definedName>
    <definedName name="QB_ROW_4021" localSheetId="4" hidden="1">'LWVC-Stmt of Fin. Postn. by Mth'!$C$13</definedName>
    <definedName name="QB_ROW_402340" localSheetId="10" hidden="1">'FASB117 '!$E$43</definedName>
    <definedName name="QB_ROW_402340" localSheetId="8" hidden="1">'LWVCEF-Stmt. of Act. by Month'!$E$31</definedName>
    <definedName name="QB_ROW_406340" localSheetId="10" hidden="1">'FASB117 '!#REF!</definedName>
    <definedName name="QB_ROW_406340" localSheetId="8" hidden="1">'LWVCEF-Stmt. of Act. by Month'!$E$43</definedName>
    <definedName name="QB_ROW_4220" localSheetId="9" hidden="1">'LWVCEF-Stmt of Fin. Pos. by mth'!$C$86</definedName>
    <definedName name="QB_ROW_424220" localSheetId="9" hidden="1">'LWVCEF-Stmt of Fin. Pos. by mth'!$C$28</definedName>
    <definedName name="QB_ROW_425220" localSheetId="9" hidden="1">'LWVCEF-Stmt of Fin. Pos. by mth'!$C$29</definedName>
    <definedName name="QB_ROW_427240" localSheetId="10" hidden="1">'FASB117 '!#REF!</definedName>
    <definedName name="QB_ROW_43040" localSheetId="10" hidden="1">'FASB117 '!$E$29</definedName>
    <definedName name="QB_ROW_4321" localSheetId="9" hidden="1">'LWVCEF-Stmt of Fin. Pos. by mth'!$C$24</definedName>
    <definedName name="QB_ROW_4321" localSheetId="4" hidden="1">'LWVC-Stmt of Fin. Postn. by Mth'!$C$23</definedName>
    <definedName name="QB_ROW_43240" localSheetId="2" hidden="1">'LWVC-Stmt of Act. by Class'!#REF!</definedName>
    <definedName name="QB_ROW_43240" localSheetId="3" hidden="1">'LWVC-Stmt of Activities by Mth'!$E$32</definedName>
    <definedName name="QB_ROW_43250" localSheetId="10" hidden="1">'FASB117 '!$F$32</definedName>
    <definedName name="QB_ROW_43340" localSheetId="10" hidden="1">'FASB117 '!$E$33</definedName>
    <definedName name="QB_ROW_43340" localSheetId="8" hidden="1">'LWVCEF-Stmt. of Act. by Month'!$E$24</definedName>
    <definedName name="QB_ROW_434240" localSheetId="10" hidden="1">'FASB117 '!$E$48</definedName>
    <definedName name="QB_ROW_434240" localSheetId="8" hidden="1">'LWVCEF-Stmt. of Act. by Month'!$E$34</definedName>
    <definedName name="QB_ROW_439220" localSheetId="9" hidden="1">'LWVCEF-Stmt of Fin. Pos. by mth'!$C$27</definedName>
    <definedName name="QB_ROW_440230" localSheetId="9" hidden="1">'LWVCEF-Stmt of Fin. Pos. by mth'!$D$23</definedName>
    <definedName name="QB_ROW_44240" localSheetId="10" hidden="1">'FASB117 '!$E$28</definedName>
    <definedName name="QB_ROW_44240" localSheetId="8" hidden="1">'LWVCEF-Stmt. of Act. by Month'!$E$23</definedName>
    <definedName name="QB_ROW_445030" localSheetId="9" hidden="1">'LWVCEF-Stmt of Fin. Pos. by mth'!$D$5</definedName>
    <definedName name="QB_ROW_445330" localSheetId="9" hidden="1">'LWVCEF-Stmt of Fin. Pos. by mth'!$D$7</definedName>
    <definedName name="QB_ROW_446240" localSheetId="9" hidden="1">'LWVCEF-Stmt of Fin. Pos. by mth'!$E$6</definedName>
    <definedName name="QB_ROW_45250" localSheetId="10" hidden="1">'FASB117 '!$F$31</definedName>
    <definedName name="QB_ROW_453240" localSheetId="9" hidden="1">'LWVCEF-Stmt of Fin. Pos. by mth'!$E$81</definedName>
    <definedName name="QB_ROW_455230" localSheetId="9" hidden="1">'LWVCEF-Stmt of Fin. Pos. by mth'!$D$8</definedName>
    <definedName name="QB_ROW_457240" localSheetId="9" hidden="1">'LWVCEF-Stmt of Fin. Pos. by mth'!#REF!</definedName>
    <definedName name="QB_ROW_465230" localSheetId="9" hidden="1">'LWVCEF-Stmt of Fin. Pos. by mth'!$D$9</definedName>
    <definedName name="QB_ROW_474230" localSheetId="9" hidden="1">'LWVCEF-Stmt of Fin. Pos. by mth'!$D$16</definedName>
    <definedName name="QB_ROW_476230" localSheetId="9" hidden="1">'LWVCEF-Stmt of Fin. Pos. by mth'!$D$10</definedName>
    <definedName name="QB_ROW_489250" localSheetId="9" hidden="1">'LWVCEF-Stmt of Fin. Pos. by mth'!$F$40</definedName>
    <definedName name="QB_ROW_491240" localSheetId="10" hidden="1">'FASB117 '!$E$27</definedName>
    <definedName name="QB_ROW_491240" localSheetId="8" hidden="1">'LWVCEF-Stmt. of Act. by Month'!$E$22</definedName>
    <definedName name="QB_ROW_494240" localSheetId="10" hidden="1">'FASB117 '!$E$47</definedName>
    <definedName name="QB_ROW_494240" localSheetId="8" hidden="1">'LWVCEF-Stmt. of Act. by Month'!$E$33</definedName>
    <definedName name="QB_ROW_496230" localSheetId="9" hidden="1">'LWVCEF-Stmt of Fin. Pos. by mth'!$D$22</definedName>
    <definedName name="QB_ROW_498030" localSheetId="9" hidden="1">'LWVCEF-Stmt of Fin. Pos. by mth'!$D$17</definedName>
    <definedName name="QB_ROW_498330" localSheetId="9" hidden="1">'LWVCEF-Stmt of Fin. Pos. by mth'!$D$20</definedName>
    <definedName name="QB_ROW_5011" localSheetId="9" hidden="1">'LWVCEF-Stmt of Fin. Pos. by mth'!$B$26</definedName>
    <definedName name="QB_ROW_5011" localSheetId="4" hidden="1">'LWVC-Stmt of Fin. Postn. by Mth'!$B$25</definedName>
    <definedName name="QB_ROW_501250" localSheetId="10" hidden="1">'FASB117 '!$F$9</definedName>
    <definedName name="QB_ROW_501250" localSheetId="8" hidden="1">'LWVCEF-Stmt. of Act. by Month'!$F$8</definedName>
    <definedName name="QB_ROW_502250" localSheetId="10" hidden="1">'FASB117 '!$F$12</definedName>
    <definedName name="QB_ROW_502250" localSheetId="8" hidden="1">'LWVCEF-Stmt. of Act. by Month'!$F$11</definedName>
    <definedName name="QB_ROW_5050" localSheetId="10" hidden="1">'FASB117 '!$F$5</definedName>
    <definedName name="QB_ROW_5050" localSheetId="8" hidden="1">'LWVCEF-Stmt. of Act. by Month'!$F$5</definedName>
    <definedName name="QB_ROW_505250" localSheetId="10" hidden="1">'FASB117 '!$F$16</definedName>
    <definedName name="QB_ROW_505250" localSheetId="8" hidden="1">'LWVCEF-Stmt. of Act. by Month'!$F$13</definedName>
    <definedName name="QB_ROW_507260" localSheetId="10" hidden="1">'FASB117 '!$G$6</definedName>
    <definedName name="QB_ROW_507260" localSheetId="8" hidden="1">'LWVCEF-Stmt. of Act. by Month'!$G$6</definedName>
    <definedName name="QB_ROW_508240" localSheetId="10" hidden="1">'FASB117 '!$E$44</definedName>
    <definedName name="QB_ROW_51240" localSheetId="2" hidden="1">'LWVC-Stmt of Act. by Class'!#REF!</definedName>
    <definedName name="QB_ROW_51240" localSheetId="3" hidden="1">'LWVC-Stmt of Activities by Mth'!$E$50</definedName>
    <definedName name="QB_ROW_513020" localSheetId="9" hidden="1">'LWVCEF-Stmt of Fin. Pos. by mth'!$C$87</definedName>
    <definedName name="QB_ROW_513320" localSheetId="9" hidden="1">'LWVCEF-Stmt of Fin. Pos. by mth'!$C$90</definedName>
    <definedName name="QB_ROW_525030" localSheetId="9" hidden="1">'LWVCEF-Stmt of Fin. Pos. by mth'!$D$93</definedName>
    <definedName name="QB_ROW_525330" localSheetId="9" hidden="1">'LWVCEF-Stmt of Fin. Pos. by mth'!$D$95</definedName>
    <definedName name="QB_ROW_5260" localSheetId="10" hidden="1">'FASB117 '!$G$7</definedName>
    <definedName name="QB_ROW_529250" localSheetId="8" hidden="1">'LWVCEF-Stmt. of Act. by Month'!$F$14</definedName>
    <definedName name="QB_ROW_5311" localSheetId="9" hidden="1">'LWVCEF-Stmt of Fin. Pos. by mth'!$B$30</definedName>
    <definedName name="QB_ROW_5311" localSheetId="4" hidden="1">'LWVC-Stmt of Fin. Postn. by Mth'!$B$29</definedName>
    <definedName name="QB_ROW_531250" localSheetId="8" hidden="1">'LWVCEF-Stmt. of Act. by Month'!$F$9</definedName>
    <definedName name="QB_ROW_532030" localSheetId="9" hidden="1">'LWVCEF-Stmt of Fin. Pos. by mth'!$D$96</definedName>
    <definedName name="QB_ROW_532330" localSheetId="9" hidden="1">'LWVCEF-Stmt of Fin. Pos. by mth'!$D$100</definedName>
    <definedName name="QB_ROW_533240" localSheetId="9" hidden="1">'LWVCEF-Stmt of Fin. Pos. by mth'!$E$97</definedName>
    <definedName name="QB_ROW_53340" localSheetId="2" hidden="1">'LWVC-Stmt of Act. by Class'!#REF!</definedName>
    <definedName name="QB_ROW_53340" localSheetId="3" hidden="1">'LWVC-Stmt of Activities by Mth'!$E$49</definedName>
    <definedName name="QB_ROW_534240" localSheetId="9" hidden="1">'LWVCEF-Stmt of Fin. Pos. by mth'!$E$98</definedName>
    <definedName name="QB_ROW_5350" localSheetId="10" hidden="1">'FASB117 '!$F$8</definedName>
    <definedName name="QB_ROW_5350" localSheetId="8" hidden="1">'LWVCEF-Stmt. of Act. by Month'!$F$7</definedName>
    <definedName name="QB_ROW_535240" localSheetId="9" hidden="1">'LWVCEF-Stmt of Fin. Pos. by mth'!$E$18</definedName>
    <definedName name="QB_ROW_537230" localSheetId="9" hidden="1">'LWVCEF-Stmt of Fin. Pos. by mth'!$D$89</definedName>
    <definedName name="QB_ROW_538230" localSheetId="9" hidden="1">'LWVCEF-Stmt of Fin. Pos. by mth'!$D$88</definedName>
    <definedName name="QB_ROW_539240" localSheetId="9" hidden="1">'LWVCEF-Stmt of Fin. Pos. by mth'!$E$19</definedName>
    <definedName name="QB_ROW_540240" localSheetId="9" hidden="1">'LWVCEF-Stmt of Fin. Pos. by mth'!$E$94</definedName>
    <definedName name="QB_ROW_541230" localSheetId="9" hidden="1">'LWVCEF-Stmt of Fin. Pos. by mth'!$D$101</definedName>
    <definedName name="QB_ROW_542240" localSheetId="9" hidden="1">'LWVCEF-Stmt of Fin. Pos. by mth'!$E$99</definedName>
    <definedName name="QB_ROW_544260" localSheetId="9" hidden="1">'LWVCEF-Stmt of Fin. Pos. by mth'!$G$61</definedName>
    <definedName name="QB_ROW_545250" localSheetId="9" hidden="1">'LWVCEF-Stmt of Fin. Pos. by mth'!$F$78</definedName>
    <definedName name="QB_ROW_546250" localSheetId="9" hidden="1">'LWVCEF-Stmt of Fin. Pos. by mth'!$F$44</definedName>
    <definedName name="QB_ROW_6011" localSheetId="4" hidden="1">'LWVC-Stmt of Fin. Postn. by Mth'!$B$30</definedName>
    <definedName name="QB_ROW_6040" localSheetId="10" hidden="1">'FASB117 '!$E$20</definedName>
    <definedName name="QB_ROW_6040" localSheetId="8" hidden="1">'LWVCEF-Stmt. of Act. by Month'!$E$16</definedName>
    <definedName name="QB_ROW_62340" localSheetId="2" hidden="1">'LWVC-Stmt of Act. by Class'!#REF!</definedName>
    <definedName name="QB_ROW_63040" localSheetId="9" hidden="1">'LWVCEF-Stmt of Fin. Pos. by mth'!$E$39</definedName>
    <definedName name="QB_ROW_6311" localSheetId="4" hidden="1">'LWVC-Stmt of Fin. Postn. by Mth'!$B$32</definedName>
    <definedName name="QB_ROW_63250" localSheetId="9" hidden="1">'LWVCEF-Stmt of Fin. Pos. by mth'!$F$41</definedName>
    <definedName name="QB_ROW_63340" localSheetId="9" hidden="1">'LWVCEF-Stmt of Fin. Pos. by mth'!$E$42</definedName>
    <definedName name="QB_ROW_6340" localSheetId="10" hidden="1">'FASB117 '!$E$26</definedName>
    <definedName name="QB_ROW_6340" localSheetId="8" hidden="1">'LWVCEF-Stmt. of Act. by Month'!$E$21</definedName>
    <definedName name="QB_ROW_64040" localSheetId="9" hidden="1">'LWVCEF-Stmt of Fin. Pos. by mth'!$E$43</definedName>
    <definedName name="QB_ROW_64340" localSheetId="9" hidden="1">'LWVCEF-Stmt of Fin. Pos. by mth'!$E$79</definedName>
    <definedName name="QB_ROW_68240" localSheetId="10" hidden="1">'FASB117 '!#REF!</definedName>
    <definedName name="QB_ROW_7001" localSheetId="9" hidden="1">'LWVCEF-Stmt of Fin. Pos. by mth'!$A$32</definedName>
    <definedName name="QB_ROW_7001" localSheetId="4" hidden="1">'LWVC-Stmt of Fin. Postn. by Mth'!$A$34</definedName>
    <definedName name="QB_ROW_7030" localSheetId="4" hidden="1">'LWVC-Stmt of Fin. Postn. by Mth'!$D$5</definedName>
    <definedName name="QB_ROW_7301" localSheetId="9" hidden="1">'LWVCEF-Stmt of Fin. Pos. by mth'!#REF!</definedName>
    <definedName name="QB_ROW_7301" localSheetId="4" hidden="1">'LWVC-Stmt of Fin. Postn. by Mth'!$A$82</definedName>
    <definedName name="QB_ROW_7330" localSheetId="4" hidden="1">'LWVC-Stmt of Fin. Postn. by Mth'!$D$8</definedName>
    <definedName name="QB_ROW_8011" localSheetId="9" hidden="1">'LWVCEF-Stmt of Fin. Pos. by mth'!$B$33</definedName>
    <definedName name="QB_ROW_8011" localSheetId="4" hidden="1">'LWVC-Stmt of Fin. Postn. by Mth'!$B$35</definedName>
    <definedName name="QB_ROW_8311" localSheetId="9" hidden="1">'LWVCEF-Stmt of Fin. Pos. by mth'!$B$84</definedName>
    <definedName name="QB_ROW_8311" localSheetId="4" hidden="1">'LWVC-Stmt of Fin. Postn. by Mth'!$B$68</definedName>
    <definedName name="QB_ROW_86321" localSheetId="10" hidden="1">'FASB117 '!#REF!</definedName>
    <definedName name="QB_ROW_86321" localSheetId="8" hidden="1">'LWVCEF-Stmt. of Act. by Month'!$C$29</definedName>
    <definedName name="QB_ROW_86321" localSheetId="2" hidden="1">'LWVC-Stmt of Act. by Class'!#REF!</definedName>
    <definedName name="QB_ROW_86321" localSheetId="3" hidden="1">'LWVC-Stmt of Activities by Mth'!$C$36</definedName>
    <definedName name="QB_ROW_87031" localSheetId="10" hidden="1">'FASB117 '!$D$35</definedName>
    <definedName name="QB_ROW_87031" localSheetId="8" hidden="1">'LWVCEF-Stmt. of Act. by Month'!$D$26</definedName>
    <definedName name="QB_ROW_87031" localSheetId="2" hidden="1">'LWVC-Stmt of Act. by Class'!#REF!</definedName>
    <definedName name="QB_ROW_87331" localSheetId="10" hidden="1">'FASB117 '!$D$37</definedName>
    <definedName name="QB_ROW_87331" localSheetId="8" hidden="1">'LWVCEF-Stmt. of Act. by Month'!$D$28</definedName>
    <definedName name="QB_ROW_87331" localSheetId="2" hidden="1">'LWVC-Stmt of Act. by Class'!#REF!</definedName>
    <definedName name="QB_ROW_87331" localSheetId="3" hidden="1">'LWVC-Stmt of Activities by Mth'!$D$35</definedName>
    <definedName name="QB_ROW_9021" localSheetId="9" hidden="1">'LWVCEF-Stmt of Fin. Pos. by mth'!$C$34</definedName>
    <definedName name="QB_ROW_9021" localSheetId="4" hidden="1">'LWVC-Stmt of Fin. Postn. by Mth'!$C$36</definedName>
    <definedName name="QB_ROW_90250" localSheetId="2" hidden="1">'LWVC-Stmt of Act. by Class'!#REF!</definedName>
    <definedName name="QB_ROW_90250" localSheetId="3" hidden="1">'LWVC-Stmt of Activities by Mth'!$F$20</definedName>
    <definedName name="QB_ROW_9321" localSheetId="9" hidden="1">'LWVCEF-Stmt of Fin. Pos. by mth'!$C$83</definedName>
    <definedName name="QB_ROW_9321" localSheetId="4" hidden="1">'LWVC-Stmt of Fin. Postn. by Mth'!$C$64</definedName>
    <definedName name="QBCANSUPPORTUPDATE" localSheetId="10">TRUE</definedName>
    <definedName name="QBCANSUPPORTUPDATE" localSheetId="9">TRUE</definedName>
    <definedName name="QBCANSUPPORTUPDATE" localSheetId="8">TRUE</definedName>
    <definedName name="QBCANSUPPORTUPDATE" localSheetId="2">TRUE</definedName>
    <definedName name="QBCANSUPPORTUPDATE" localSheetId="3">TRUE</definedName>
    <definedName name="QBCANSUPPORTUPDATE" localSheetId="4">TRUE</definedName>
    <definedName name="QBCOMPANYFILENAME" localSheetId="10">"Q:\LWVCEF 2004-2005.QBW"</definedName>
    <definedName name="QBCOMPANYFILENAME" localSheetId="9">"\\Gaston\lwvc\QuickBooks\LWVCEF 2004-2005.QBW"</definedName>
    <definedName name="QBCOMPANYFILENAME" localSheetId="8">"\\Gaston\lwvc\QuickBooks\LWVCEF 2004-2005.QBW"</definedName>
    <definedName name="QBCOMPANYFILENAME" localSheetId="2">"\\Gaston\lwvc\QuickBooks\LWVC2004-2005.QBW"</definedName>
    <definedName name="QBCOMPANYFILENAME" localSheetId="3">"\\Gaston\lwvc\QuickBooks\LWVC2004-2005.QBW"</definedName>
    <definedName name="QBCOMPANYFILENAME" localSheetId="4">"\\Gaston\lwvc\QuickBooks\LWVC2004-2005.QBW"</definedName>
    <definedName name="QBENDDATE" localSheetId="10">20150228</definedName>
    <definedName name="QBENDDATE" localSheetId="9">20181130</definedName>
    <definedName name="QBENDDATE" localSheetId="8">20190831</definedName>
    <definedName name="QBENDDATE" localSheetId="2">20180831</definedName>
    <definedName name="QBENDDATE" localSheetId="3">20190131</definedName>
    <definedName name="QBENDDATE" localSheetId="4">20181130</definedName>
    <definedName name="QBHEADERSONSCREEN" localSheetId="10">FALSE</definedName>
    <definedName name="QBHEADERSONSCREEN" localSheetId="9">FALSE</definedName>
    <definedName name="QBHEADERSONSCREEN" localSheetId="8">FALSE</definedName>
    <definedName name="QBHEADERSONSCREEN" localSheetId="2">FALSE</definedName>
    <definedName name="QBHEADERSONSCREEN" localSheetId="3">FALSE</definedName>
    <definedName name="QBHEADERSONSCREEN" localSheetId="4">FALSE</definedName>
    <definedName name="QBMETADATASIZE" localSheetId="10">5802</definedName>
    <definedName name="QBMETADATASIZE" localSheetId="9">5892</definedName>
    <definedName name="QBMETADATASIZE" localSheetId="8">5914</definedName>
    <definedName name="QBMETADATASIZE" localSheetId="2">5892</definedName>
    <definedName name="QBMETADATASIZE" localSheetId="3">5892</definedName>
    <definedName name="QBMETADATASIZE" localSheetId="4">5892</definedName>
    <definedName name="QBPRESERVECOLOR" localSheetId="10">TRUE</definedName>
    <definedName name="QBPRESERVECOLOR" localSheetId="9">TRUE</definedName>
    <definedName name="QBPRESERVECOLOR" localSheetId="8">TRUE</definedName>
    <definedName name="QBPRESERVECOLOR" localSheetId="2">TRUE</definedName>
    <definedName name="QBPRESERVECOLOR" localSheetId="3">TRUE</definedName>
    <definedName name="QBPRESERVECOLOR" localSheetId="4">TRUE</definedName>
    <definedName name="QBPRESERVEFONT" localSheetId="10">TRUE</definedName>
    <definedName name="QBPRESERVEFONT" localSheetId="9">TRUE</definedName>
    <definedName name="QBPRESERVEFONT" localSheetId="8">TRUE</definedName>
    <definedName name="QBPRESERVEFONT" localSheetId="2">TRUE</definedName>
    <definedName name="QBPRESERVEFONT" localSheetId="3">TRUE</definedName>
    <definedName name="QBPRESERVEFONT" localSheetId="4">TRUE</definedName>
    <definedName name="QBPRESERVEROWHEIGHT" localSheetId="10">TRUE</definedName>
    <definedName name="QBPRESERVEROWHEIGHT" localSheetId="9">TRUE</definedName>
    <definedName name="QBPRESERVEROWHEIGHT" localSheetId="8">TRUE</definedName>
    <definedName name="QBPRESERVEROWHEIGHT" localSheetId="2">TRUE</definedName>
    <definedName name="QBPRESERVEROWHEIGHT" localSheetId="3">TRUE</definedName>
    <definedName name="QBPRESERVEROWHEIGHT" localSheetId="4">TRUE</definedName>
    <definedName name="QBPRESERVESPACE" localSheetId="10">TRUE</definedName>
    <definedName name="QBPRESERVESPACE" localSheetId="9">TRUE</definedName>
    <definedName name="QBPRESERVESPACE" localSheetId="8">TRUE</definedName>
    <definedName name="QBPRESERVESPACE" localSheetId="2">TRUE</definedName>
    <definedName name="QBPRESERVESPACE" localSheetId="3">TRUE</definedName>
    <definedName name="QBPRESERVESPACE" localSheetId="4">TRUE</definedName>
    <definedName name="QBREPORTCOLAXIS" localSheetId="10">0</definedName>
    <definedName name="QBREPORTCOLAXIS" localSheetId="9">6</definedName>
    <definedName name="QBREPORTCOLAXIS" localSheetId="8">6</definedName>
    <definedName name="QBREPORTCOLAXIS" localSheetId="2">19</definedName>
    <definedName name="QBREPORTCOLAXIS" localSheetId="3">6</definedName>
    <definedName name="QBREPORTCOLAXIS" localSheetId="4">6</definedName>
    <definedName name="QBREPORTCOMPANYID" localSheetId="10">"ed63fede42314b36bb2c132d8ee034e7"</definedName>
    <definedName name="QBREPORTCOMPANYID" localSheetId="9">"ed63fede42314b36bb2c132d8ee034e7"</definedName>
    <definedName name="QBREPORTCOMPANYID" localSheetId="8">"ed63fede42314b36bb2c132d8ee034e7"</definedName>
    <definedName name="QBREPORTCOMPANYID" localSheetId="2">"d1bc5fb40bb64c32989208a640179ef4"</definedName>
    <definedName name="QBREPORTCOMPANYID" localSheetId="3">"d1bc5fb40bb64c32989208a640179ef4"</definedName>
    <definedName name="QBREPORTCOMPANYID" localSheetId="4">"d1bc5fb40bb64c32989208a640179ef4"</definedName>
    <definedName name="QBREPORTCOMPARECOL_ANNUALBUDGET" localSheetId="10">FALSE</definedName>
    <definedName name="QBREPORTCOMPARECOL_ANNUALBUDGET" localSheetId="9">FALSE</definedName>
    <definedName name="QBREPORTCOMPARECOL_ANNUALBUDGET" localSheetId="8">FALSE</definedName>
    <definedName name="QBREPORTCOMPARECOL_ANNUALBUDGET" localSheetId="2">FALSE</definedName>
    <definedName name="QBREPORTCOMPARECOL_ANNUALBUDGET" localSheetId="3">FALSE</definedName>
    <definedName name="QBREPORTCOMPARECOL_ANNUALBUDGET" localSheetId="4">FALSE</definedName>
    <definedName name="QBREPORTCOMPARECOL_AVGCOGS" localSheetId="10">FALSE</definedName>
    <definedName name="QBREPORTCOMPARECOL_AVGCOGS" localSheetId="9">FALSE</definedName>
    <definedName name="QBREPORTCOMPARECOL_AVGCOGS" localSheetId="8">FALSE</definedName>
    <definedName name="QBREPORTCOMPARECOL_AVGCOGS" localSheetId="2">FALSE</definedName>
    <definedName name="QBREPORTCOMPARECOL_AVGCOGS" localSheetId="3">FALSE</definedName>
    <definedName name="QBREPORTCOMPARECOL_AVGCOGS" localSheetId="4">FALSE</definedName>
    <definedName name="QBREPORTCOMPARECOL_AVGPRICE" localSheetId="10">FALSE</definedName>
    <definedName name="QBREPORTCOMPARECOL_AVGPRICE" localSheetId="9">FALSE</definedName>
    <definedName name="QBREPORTCOMPARECOL_AVGPRICE" localSheetId="8">FALSE</definedName>
    <definedName name="QBREPORTCOMPARECOL_AVGPRICE" localSheetId="2">FALSE</definedName>
    <definedName name="QBREPORTCOMPARECOL_AVGPRICE" localSheetId="3">FALSE</definedName>
    <definedName name="QBREPORTCOMPARECOL_AVGPRICE" localSheetId="4">FALSE</definedName>
    <definedName name="QBREPORTCOMPARECOL_BUDDIFF" localSheetId="10">FALSE</definedName>
    <definedName name="QBREPORTCOMPARECOL_BUDDIFF" localSheetId="9">FALSE</definedName>
    <definedName name="QBREPORTCOMPARECOL_BUDDIFF" localSheetId="8">FALSE</definedName>
    <definedName name="QBREPORTCOMPARECOL_BUDDIFF" localSheetId="2">FALSE</definedName>
    <definedName name="QBREPORTCOMPARECOL_BUDDIFF" localSheetId="3">FALSE</definedName>
    <definedName name="QBREPORTCOMPARECOL_BUDDIFF" localSheetId="4">FALSE</definedName>
    <definedName name="QBREPORTCOMPARECOL_BUDGET" localSheetId="10">FALSE</definedName>
    <definedName name="QBREPORTCOMPARECOL_BUDGET" localSheetId="9">FALSE</definedName>
    <definedName name="QBREPORTCOMPARECOL_BUDGET" localSheetId="8">FALSE</definedName>
    <definedName name="QBREPORTCOMPARECOL_BUDGET" localSheetId="2">TRUE</definedName>
    <definedName name="QBREPORTCOMPARECOL_BUDGET" localSheetId="3">FALSE</definedName>
    <definedName name="QBREPORTCOMPARECOL_BUDGET" localSheetId="4">FALSE</definedName>
    <definedName name="QBREPORTCOMPARECOL_BUDPCT" localSheetId="10">FALSE</definedName>
    <definedName name="QBREPORTCOMPARECOL_BUDPCT" localSheetId="9">FALSE</definedName>
    <definedName name="QBREPORTCOMPARECOL_BUDPCT" localSheetId="8">FALSE</definedName>
    <definedName name="QBREPORTCOMPARECOL_BUDPCT" localSheetId="2">FALSE</definedName>
    <definedName name="QBREPORTCOMPARECOL_BUDPCT" localSheetId="3">FALSE</definedName>
    <definedName name="QBREPORTCOMPARECOL_BUDPCT" localSheetId="4">FALSE</definedName>
    <definedName name="QBREPORTCOMPARECOL_COGS" localSheetId="10">FALSE</definedName>
    <definedName name="QBREPORTCOMPARECOL_COGS" localSheetId="9">FALSE</definedName>
    <definedName name="QBREPORTCOMPARECOL_COGS" localSheetId="8">FALSE</definedName>
    <definedName name="QBREPORTCOMPARECOL_COGS" localSheetId="2">FALSE</definedName>
    <definedName name="QBREPORTCOMPARECOL_COGS" localSheetId="3">FALSE</definedName>
    <definedName name="QBREPORTCOMPARECOL_COGS" localSheetId="4">FALSE</definedName>
    <definedName name="QBREPORTCOMPARECOL_EXCLUDEAMOUNT" localSheetId="10">FALSE</definedName>
    <definedName name="QBREPORTCOMPARECOL_EXCLUDEAMOUNT" localSheetId="9">FALSE</definedName>
    <definedName name="QBREPORTCOMPARECOL_EXCLUDEAMOUNT" localSheetId="8">FALSE</definedName>
    <definedName name="QBREPORTCOMPARECOL_EXCLUDEAMOUNT" localSheetId="2">FALSE</definedName>
    <definedName name="QBREPORTCOMPARECOL_EXCLUDEAMOUNT" localSheetId="3">FALSE</definedName>
    <definedName name="QBREPORTCOMPARECOL_EXCLUDEAMOUNT" localSheetId="4">FALSE</definedName>
    <definedName name="QBREPORTCOMPARECOL_EXCLUDECURPERIOD" localSheetId="10">FALSE</definedName>
    <definedName name="QBREPORTCOMPARECOL_EXCLUDECURPERIOD" localSheetId="9">FALSE</definedName>
    <definedName name="QBREPORTCOMPARECOL_EXCLUDECURPERIOD" localSheetId="8">FALSE</definedName>
    <definedName name="QBREPORTCOMPARECOL_EXCLUDECURPERIOD" localSheetId="2">FALSE</definedName>
    <definedName name="QBREPORTCOMPARECOL_EXCLUDECURPERIOD" localSheetId="3">FALSE</definedName>
    <definedName name="QBREPORTCOMPARECOL_EXCLUDECURPERIOD" localSheetId="4">FALSE</definedName>
    <definedName name="QBREPORTCOMPARECOL_FORECAST" localSheetId="10">FALSE</definedName>
    <definedName name="QBREPORTCOMPARECOL_FORECAST" localSheetId="9">FALSE</definedName>
    <definedName name="QBREPORTCOMPARECOL_FORECAST" localSheetId="8">FALSE</definedName>
    <definedName name="QBREPORTCOMPARECOL_FORECAST" localSheetId="2">FALSE</definedName>
    <definedName name="QBREPORTCOMPARECOL_FORECAST" localSheetId="3">FALSE</definedName>
    <definedName name="QBREPORTCOMPARECOL_FORECAST" localSheetId="4">FALSE</definedName>
    <definedName name="QBREPORTCOMPARECOL_GROSSMARGIN" localSheetId="10">FALSE</definedName>
    <definedName name="QBREPORTCOMPARECOL_GROSSMARGIN" localSheetId="9">FALSE</definedName>
    <definedName name="QBREPORTCOMPARECOL_GROSSMARGIN" localSheetId="8">FALSE</definedName>
    <definedName name="QBREPORTCOMPARECOL_GROSSMARGIN" localSheetId="2">FALSE</definedName>
    <definedName name="QBREPORTCOMPARECOL_GROSSMARGIN" localSheetId="3">FALSE</definedName>
    <definedName name="QBREPORTCOMPARECOL_GROSSMARGIN" localSheetId="4">FALSE</definedName>
    <definedName name="QBREPORTCOMPARECOL_GROSSMARGINPCT" localSheetId="10">FALSE</definedName>
    <definedName name="QBREPORTCOMPARECOL_GROSSMARGINPCT" localSheetId="9">FALSE</definedName>
    <definedName name="QBREPORTCOMPARECOL_GROSSMARGINPCT" localSheetId="8">FALSE</definedName>
    <definedName name="QBREPORTCOMPARECOL_GROSSMARGINPCT" localSheetId="2">FALSE</definedName>
    <definedName name="QBREPORTCOMPARECOL_GROSSMARGINPCT" localSheetId="3">FALSE</definedName>
    <definedName name="QBREPORTCOMPARECOL_GROSSMARGINPCT" localSheetId="4">FALSE</definedName>
    <definedName name="QBREPORTCOMPARECOL_HOURS" localSheetId="10">FALSE</definedName>
    <definedName name="QBREPORTCOMPARECOL_HOURS" localSheetId="9">FALSE</definedName>
    <definedName name="QBREPORTCOMPARECOL_HOURS" localSheetId="8">FALSE</definedName>
    <definedName name="QBREPORTCOMPARECOL_HOURS" localSheetId="2">FALSE</definedName>
    <definedName name="QBREPORTCOMPARECOL_HOURS" localSheetId="3">FALSE</definedName>
    <definedName name="QBREPORTCOMPARECOL_HOURS" localSheetId="4">FALSE</definedName>
    <definedName name="QBREPORTCOMPARECOL_PCTCOL" localSheetId="10">FALSE</definedName>
    <definedName name="QBREPORTCOMPARECOL_PCTCOL" localSheetId="9">FALSE</definedName>
    <definedName name="QBREPORTCOMPARECOL_PCTCOL" localSheetId="8">FALSE</definedName>
    <definedName name="QBREPORTCOMPARECOL_PCTCOL" localSheetId="2">FALSE</definedName>
    <definedName name="QBREPORTCOMPARECOL_PCTCOL" localSheetId="3">FALSE</definedName>
    <definedName name="QBREPORTCOMPARECOL_PCTCOL" localSheetId="4">FALSE</definedName>
    <definedName name="QBREPORTCOMPARECOL_PCTEXPENSE" localSheetId="10">FALSE</definedName>
    <definedName name="QBREPORTCOMPARECOL_PCTEXPENSE" localSheetId="9">FALSE</definedName>
    <definedName name="QBREPORTCOMPARECOL_PCTEXPENSE" localSheetId="8">FALSE</definedName>
    <definedName name="QBREPORTCOMPARECOL_PCTEXPENSE" localSheetId="2">FALSE</definedName>
    <definedName name="QBREPORTCOMPARECOL_PCTEXPENSE" localSheetId="3">FALSE</definedName>
    <definedName name="QBREPORTCOMPARECOL_PCTEXPENSE" localSheetId="4">FALSE</definedName>
    <definedName name="QBREPORTCOMPARECOL_PCTINCOME" localSheetId="10">FALSE</definedName>
    <definedName name="QBREPORTCOMPARECOL_PCTINCOME" localSheetId="9">FALSE</definedName>
    <definedName name="QBREPORTCOMPARECOL_PCTINCOME" localSheetId="8">FALSE</definedName>
    <definedName name="QBREPORTCOMPARECOL_PCTINCOME" localSheetId="2">FALSE</definedName>
    <definedName name="QBREPORTCOMPARECOL_PCTINCOME" localSheetId="3">FALSE</definedName>
    <definedName name="QBREPORTCOMPARECOL_PCTINCOME" localSheetId="4">FALSE</definedName>
    <definedName name="QBREPORTCOMPARECOL_PCTOFSALES" localSheetId="10">FALSE</definedName>
    <definedName name="QBREPORTCOMPARECOL_PCTOFSALES" localSheetId="9">FALSE</definedName>
    <definedName name="QBREPORTCOMPARECOL_PCTOFSALES" localSheetId="8">FALSE</definedName>
    <definedName name="QBREPORTCOMPARECOL_PCTOFSALES" localSheetId="2">FALSE</definedName>
    <definedName name="QBREPORTCOMPARECOL_PCTOFSALES" localSheetId="3">FALSE</definedName>
    <definedName name="QBREPORTCOMPARECOL_PCTOFSALES" localSheetId="4">FALSE</definedName>
    <definedName name="QBREPORTCOMPARECOL_PCTROW" localSheetId="10">FALSE</definedName>
    <definedName name="QBREPORTCOMPARECOL_PCTROW" localSheetId="9">FALSE</definedName>
    <definedName name="QBREPORTCOMPARECOL_PCTROW" localSheetId="8">FALSE</definedName>
    <definedName name="QBREPORTCOMPARECOL_PCTROW" localSheetId="2">FALSE</definedName>
    <definedName name="QBREPORTCOMPARECOL_PCTROW" localSheetId="3">FALSE</definedName>
    <definedName name="QBREPORTCOMPARECOL_PCTROW" localSheetId="4">FALSE</definedName>
    <definedName name="QBREPORTCOMPARECOL_PPDIFF" localSheetId="10">FALSE</definedName>
    <definedName name="QBREPORTCOMPARECOL_PPDIFF" localSheetId="9">FALSE</definedName>
    <definedName name="QBREPORTCOMPARECOL_PPDIFF" localSheetId="8">FALSE</definedName>
    <definedName name="QBREPORTCOMPARECOL_PPDIFF" localSheetId="2">FALSE</definedName>
    <definedName name="QBREPORTCOMPARECOL_PPDIFF" localSheetId="3">FALSE</definedName>
    <definedName name="QBREPORTCOMPARECOL_PPDIFF" localSheetId="4">FALSE</definedName>
    <definedName name="QBREPORTCOMPARECOL_PPPCT" localSheetId="10">FALSE</definedName>
    <definedName name="QBREPORTCOMPARECOL_PPPCT" localSheetId="9">FALSE</definedName>
    <definedName name="QBREPORTCOMPARECOL_PPPCT" localSheetId="8">FALSE</definedName>
    <definedName name="QBREPORTCOMPARECOL_PPPCT" localSheetId="2">FALSE</definedName>
    <definedName name="QBREPORTCOMPARECOL_PPPCT" localSheetId="3">FALSE</definedName>
    <definedName name="QBREPORTCOMPARECOL_PPPCT" localSheetId="4">FALSE</definedName>
    <definedName name="QBREPORTCOMPARECOL_PREVPERIOD" localSheetId="10">FALSE</definedName>
    <definedName name="QBREPORTCOMPARECOL_PREVPERIOD" localSheetId="9">FALSE</definedName>
    <definedName name="QBREPORTCOMPARECOL_PREVPERIOD" localSheetId="8">FALSE</definedName>
    <definedName name="QBREPORTCOMPARECOL_PREVPERIOD" localSheetId="2">FALSE</definedName>
    <definedName name="QBREPORTCOMPARECOL_PREVPERIOD" localSheetId="3">FALSE</definedName>
    <definedName name="QBREPORTCOMPARECOL_PREVPERIOD" localSheetId="4">FALSE</definedName>
    <definedName name="QBREPORTCOMPARECOL_PREVYEAR" localSheetId="10">FALSE</definedName>
    <definedName name="QBREPORTCOMPARECOL_PREVYEAR" localSheetId="9">FALSE</definedName>
    <definedName name="QBREPORTCOMPARECOL_PREVYEAR" localSheetId="8">FALSE</definedName>
    <definedName name="QBREPORTCOMPARECOL_PREVYEAR" localSheetId="2">FALSE</definedName>
    <definedName name="QBREPORTCOMPARECOL_PREVYEAR" localSheetId="3">FALSE</definedName>
    <definedName name="QBREPORTCOMPARECOL_PREVYEAR" localSheetId="4">FALSE</definedName>
    <definedName name="QBREPORTCOMPARECOL_PYDIFF" localSheetId="10">FALSE</definedName>
    <definedName name="QBREPORTCOMPARECOL_PYDIFF" localSheetId="9">FALSE</definedName>
    <definedName name="QBREPORTCOMPARECOL_PYDIFF" localSheetId="8">FALSE</definedName>
    <definedName name="QBREPORTCOMPARECOL_PYDIFF" localSheetId="2">FALSE</definedName>
    <definedName name="QBREPORTCOMPARECOL_PYDIFF" localSheetId="3">FALSE</definedName>
    <definedName name="QBREPORTCOMPARECOL_PYDIFF" localSheetId="4">FALSE</definedName>
    <definedName name="QBREPORTCOMPARECOL_PYPCT" localSheetId="10">FALSE</definedName>
    <definedName name="QBREPORTCOMPARECOL_PYPCT" localSheetId="9">FALSE</definedName>
    <definedName name="QBREPORTCOMPARECOL_PYPCT" localSheetId="8">FALSE</definedName>
    <definedName name="QBREPORTCOMPARECOL_PYPCT" localSheetId="2">FALSE</definedName>
    <definedName name="QBREPORTCOMPARECOL_PYPCT" localSheetId="3">FALSE</definedName>
    <definedName name="QBREPORTCOMPARECOL_PYPCT" localSheetId="4">FALSE</definedName>
    <definedName name="QBREPORTCOMPARECOL_QTY" localSheetId="10">FALSE</definedName>
    <definedName name="QBREPORTCOMPARECOL_QTY" localSheetId="9">FALSE</definedName>
    <definedName name="QBREPORTCOMPARECOL_QTY" localSheetId="8">FALSE</definedName>
    <definedName name="QBREPORTCOMPARECOL_QTY" localSheetId="2">FALSE</definedName>
    <definedName name="QBREPORTCOMPARECOL_QTY" localSheetId="3">FALSE</definedName>
    <definedName name="QBREPORTCOMPARECOL_QTY" localSheetId="4">FALSE</definedName>
    <definedName name="QBREPORTCOMPARECOL_RATE" localSheetId="10">FALSE</definedName>
    <definedName name="QBREPORTCOMPARECOL_RATE" localSheetId="9">FALSE</definedName>
    <definedName name="QBREPORTCOMPARECOL_RATE" localSheetId="8">FALSE</definedName>
    <definedName name="QBREPORTCOMPARECOL_RATE" localSheetId="2">FALSE</definedName>
    <definedName name="QBREPORTCOMPARECOL_RATE" localSheetId="3">FALSE</definedName>
    <definedName name="QBREPORTCOMPARECOL_RATE" localSheetId="4">FALSE</definedName>
    <definedName name="QBREPORTCOMPARECOL_TRIPBILLEDMILES" localSheetId="10">FALSE</definedName>
    <definedName name="QBREPORTCOMPARECOL_TRIPBILLEDMILES" localSheetId="9">FALSE</definedName>
    <definedName name="QBREPORTCOMPARECOL_TRIPBILLEDMILES" localSheetId="8">FALSE</definedName>
    <definedName name="QBREPORTCOMPARECOL_TRIPBILLEDMILES" localSheetId="2">FALSE</definedName>
    <definedName name="QBREPORTCOMPARECOL_TRIPBILLEDMILES" localSheetId="3">FALSE</definedName>
    <definedName name="QBREPORTCOMPARECOL_TRIPBILLEDMILES" localSheetId="4">FALSE</definedName>
    <definedName name="QBREPORTCOMPARECOL_TRIPBILLINGAMOUNT" localSheetId="10">FALSE</definedName>
    <definedName name="QBREPORTCOMPARECOL_TRIPBILLINGAMOUNT" localSheetId="9">FALSE</definedName>
    <definedName name="QBREPORTCOMPARECOL_TRIPBILLINGAMOUNT" localSheetId="8">FALSE</definedName>
    <definedName name="QBREPORTCOMPARECOL_TRIPBILLINGAMOUNT" localSheetId="2">FALSE</definedName>
    <definedName name="QBREPORTCOMPARECOL_TRIPBILLINGAMOUNT" localSheetId="3">FALSE</definedName>
    <definedName name="QBREPORTCOMPARECOL_TRIPBILLINGAMOUNT" localSheetId="4">FALSE</definedName>
    <definedName name="QBREPORTCOMPARECOL_TRIPMILES" localSheetId="10">FALSE</definedName>
    <definedName name="QBREPORTCOMPARECOL_TRIPMILES" localSheetId="9">FALSE</definedName>
    <definedName name="QBREPORTCOMPARECOL_TRIPMILES" localSheetId="8">FALSE</definedName>
    <definedName name="QBREPORTCOMPARECOL_TRIPMILES" localSheetId="2">FALSE</definedName>
    <definedName name="QBREPORTCOMPARECOL_TRIPMILES" localSheetId="3">FALSE</definedName>
    <definedName name="QBREPORTCOMPARECOL_TRIPMILES" localSheetId="4">FALSE</definedName>
    <definedName name="QBREPORTCOMPARECOL_TRIPNOTBILLABLEMILES" localSheetId="10">FALSE</definedName>
    <definedName name="QBREPORTCOMPARECOL_TRIPNOTBILLABLEMILES" localSheetId="9">FALSE</definedName>
    <definedName name="QBREPORTCOMPARECOL_TRIPNOTBILLABLEMILES" localSheetId="8">FALSE</definedName>
    <definedName name="QBREPORTCOMPARECOL_TRIPNOTBILLABLEMILES" localSheetId="2">FALSE</definedName>
    <definedName name="QBREPORTCOMPARECOL_TRIPNOTBILLABLEMILES" localSheetId="3">FALSE</definedName>
    <definedName name="QBREPORTCOMPARECOL_TRIPNOTBILLABLEMILES" localSheetId="4">FALSE</definedName>
    <definedName name="QBREPORTCOMPARECOL_TRIPTAXDEDUCTIBLEAMOUNT" localSheetId="10">FALSE</definedName>
    <definedName name="QBREPORTCOMPARECOL_TRIPTAXDEDUCTIBLEAMOUNT" localSheetId="9">FALSE</definedName>
    <definedName name="QBREPORTCOMPARECOL_TRIPTAXDEDUCTIBLEAMOUNT" localSheetId="8">FALSE</definedName>
    <definedName name="QBREPORTCOMPARECOL_TRIPTAXDEDUCTIBLEAMOUNT" localSheetId="2">FALSE</definedName>
    <definedName name="QBREPORTCOMPARECOL_TRIPTAXDEDUCTIBLEAMOUNT" localSheetId="3">FALSE</definedName>
    <definedName name="QBREPORTCOMPARECOL_TRIPTAXDEDUCTIBLEAMOUNT" localSheetId="4">FALSE</definedName>
    <definedName name="QBREPORTCOMPARECOL_TRIPUNBILLEDMILES" localSheetId="10">FALSE</definedName>
    <definedName name="QBREPORTCOMPARECOL_TRIPUNBILLEDMILES" localSheetId="9">FALSE</definedName>
    <definedName name="QBREPORTCOMPARECOL_TRIPUNBILLEDMILES" localSheetId="8">FALSE</definedName>
    <definedName name="QBREPORTCOMPARECOL_TRIPUNBILLEDMILES" localSheetId="2">FALSE</definedName>
    <definedName name="QBREPORTCOMPARECOL_TRIPUNBILLEDMILES" localSheetId="3">FALSE</definedName>
    <definedName name="QBREPORTCOMPARECOL_TRIPUNBILLEDMILES" localSheetId="4">FALSE</definedName>
    <definedName name="QBREPORTCOMPARECOL_YTD" localSheetId="10">FALSE</definedName>
    <definedName name="QBREPORTCOMPARECOL_YTD" localSheetId="9">FALSE</definedName>
    <definedName name="QBREPORTCOMPARECOL_YTD" localSheetId="8">FALSE</definedName>
    <definedName name="QBREPORTCOMPARECOL_YTD" localSheetId="2">FALSE</definedName>
    <definedName name="QBREPORTCOMPARECOL_YTD" localSheetId="3">FALSE</definedName>
    <definedName name="QBREPORTCOMPARECOL_YTD" localSheetId="4">FALSE</definedName>
    <definedName name="QBREPORTCOMPARECOL_YTDBUDGET" localSheetId="10">FALSE</definedName>
    <definedName name="QBREPORTCOMPARECOL_YTDBUDGET" localSheetId="9">FALSE</definedName>
    <definedName name="QBREPORTCOMPARECOL_YTDBUDGET" localSheetId="8">FALSE</definedName>
    <definedName name="QBREPORTCOMPARECOL_YTDBUDGET" localSheetId="2">FALSE</definedName>
    <definedName name="QBREPORTCOMPARECOL_YTDBUDGET" localSheetId="3">FALSE</definedName>
    <definedName name="QBREPORTCOMPARECOL_YTDBUDGET" localSheetId="4">FALSE</definedName>
    <definedName name="QBREPORTCOMPARECOL_YTDPCT" localSheetId="10">FALSE</definedName>
    <definedName name="QBREPORTCOMPARECOL_YTDPCT" localSheetId="9">FALSE</definedName>
    <definedName name="QBREPORTCOMPARECOL_YTDPCT" localSheetId="8">FALSE</definedName>
    <definedName name="QBREPORTCOMPARECOL_YTDPCT" localSheetId="2">FALSE</definedName>
    <definedName name="QBREPORTCOMPARECOL_YTDPCT" localSheetId="3">FALSE</definedName>
    <definedName name="QBREPORTCOMPARECOL_YTDPCT" localSheetId="4">FALSE</definedName>
    <definedName name="QBREPORTROWAXIS" localSheetId="10">11</definedName>
    <definedName name="QBREPORTROWAXIS" localSheetId="9">9</definedName>
    <definedName name="QBREPORTROWAXIS" localSheetId="8">11</definedName>
    <definedName name="QBREPORTROWAXIS" localSheetId="2">11</definedName>
    <definedName name="QBREPORTROWAXIS" localSheetId="3">11</definedName>
    <definedName name="QBREPORTROWAXIS" localSheetId="4">9</definedName>
    <definedName name="QBREPORTSUBCOLAXIS" localSheetId="10">0</definedName>
    <definedName name="QBREPORTSUBCOLAXIS" localSheetId="9">0</definedName>
    <definedName name="QBREPORTSUBCOLAXIS" localSheetId="8">0</definedName>
    <definedName name="QBREPORTSUBCOLAXIS" localSheetId="2">24</definedName>
    <definedName name="QBREPORTSUBCOLAXIS" localSheetId="3">0</definedName>
    <definedName name="QBREPORTSUBCOLAXIS" localSheetId="4">0</definedName>
    <definedName name="QBREPORTTYPE" localSheetId="10">0</definedName>
    <definedName name="QBREPORTTYPE" localSheetId="9">5</definedName>
    <definedName name="QBREPORTTYPE" localSheetId="8">0</definedName>
    <definedName name="QBREPORTTYPE" localSheetId="2">288</definedName>
    <definedName name="QBREPORTTYPE" localSheetId="3">0</definedName>
    <definedName name="QBREPORTTYPE" localSheetId="4">5</definedName>
    <definedName name="QBROWHEADERS" localSheetId="10">7</definedName>
    <definedName name="QBROWHEADERS" localSheetId="9">7</definedName>
    <definedName name="QBROWHEADERS" localSheetId="8">7</definedName>
    <definedName name="QBROWHEADERS" localSheetId="2">7</definedName>
    <definedName name="QBROWHEADERS" localSheetId="3">7</definedName>
    <definedName name="QBROWHEADERS" localSheetId="4">7</definedName>
    <definedName name="QBSTARTDATE" localSheetId="10">20140701</definedName>
    <definedName name="QBSTARTDATE" localSheetId="9">20171231</definedName>
    <definedName name="QBSTARTDATE" localSheetId="8">20180901</definedName>
    <definedName name="QBSTARTDATE" localSheetId="2">20180701</definedName>
    <definedName name="QBSTARTDATE" localSheetId="3">20180201</definedName>
    <definedName name="QBSTARTDATE" localSheetId="4">20171231</definedName>
  </definedNames>
  <calcPr calcId="145621"/>
</workbook>
</file>

<file path=xl/calcChain.xml><?xml version="1.0" encoding="utf-8"?>
<calcChain xmlns="http://schemas.openxmlformats.org/spreadsheetml/2006/main">
  <c r="I22" i="2" l="1"/>
  <c r="AD99" i="21" l="1"/>
  <c r="AD101" i="21" s="1"/>
  <c r="AB99" i="21"/>
  <c r="AB101" i="21" s="1"/>
  <c r="Z99" i="21"/>
  <c r="Z101" i="21" s="1"/>
  <c r="X99" i="21"/>
  <c r="X101" i="21" s="1"/>
  <c r="V99" i="21"/>
  <c r="V101" i="21" s="1"/>
  <c r="T99" i="21"/>
  <c r="T101" i="21" s="1"/>
  <c r="R99" i="21"/>
  <c r="R101" i="21" s="1"/>
  <c r="P99" i="21"/>
  <c r="P101" i="21" s="1"/>
  <c r="N99" i="21"/>
  <c r="N101" i="21" s="1"/>
  <c r="L99" i="21"/>
  <c r="L101" i="21" s="1"/>
  <c r="J99" i="21"/>
  <c r="J101" i="21" s="1"/>
  <c r="H99" i="21"/>
  <c r="H101" i="21" s="1"/>
  <c r="AD90" i="21"/>
  <c r="AD103" i="21" s="1"/>
  <c r="AB90" i="21"/>
  <c r="AB103" i="21" s="1"/>
  <c r="Z90" i="21"/>
  <c r="Z103" i="21" s="1"/>
  <c r="X90" i="21"/>
  <c r="X103" i="21" s="1"/>
  <c r="V90" i="21"/>
  <c r="V103" i="21" s="1"/>
  <c r="T90" i="21"/>
  <c r="T103" i="21" s="1"/>
  <c r="R90" i="21"/>
  <c r="R103" i="21" s="1"/>
  <c r="P90" i="21"/>
  <c r="P103" i="21" s="1"/>
  <c r="N90" i="21"/>
  <c r="N103" i="21" s="1"/>
  <c r="L90" i="21"/>
  <c r="L103" i="21" s="1"/>
  <c r="J90" i="21"/>
  <c r="J103" i="21" s="1"/>
  <c r="H90" i="21"/>
  <c r="H103" i="21" s="1"/>
  <c r="AD58" i="21"/>
  <c r="AD76" i="21" s="1"/>
  <c r="AB58" i="21"/>
  <c r="AB76" i="21" s="1"/>
  <c r="Z58" i="21"/>
  <c r="Z76" i="21" s="1"/>
  <c r="X58" i="21"/>
  <c r="X76" i="21" s="1"/>
  <c r="V58" i="21"/>
  <c r="V76" i="21" s="1"/>
  <c r="T58" i="21"/>
  <c r="T76" i="21" s="1"/>
  <c r="R58" i="21"/>
  <c r="R76" i="21" s="1"/>
  <c r="P58" i="21"/>
  <c r="P76" i="21" s="1"/>
  <c r="N58" i="21"/>
  <c r="N76" i="21" s="1"/>
  <c r="L58" i="21"/>
  <c r="L76" i="21" s="1"/>
  <c r="J58" i="21"/>
  <c r="J76" i="21" s="1"/>
  <c r="H58" i="21"/>
  <c r="H76" i="21" s="1"/>
  <c r="AD37" i="21"/>
  <c r="AD82" i="21" s="1"/>
  <c r="AB37" i="21"/>
  <c r="AB82" i="21" s="1"/>
  <c r="Z37" i="21"/>
  <c r="Z82" i="21" s="1"/>
  <c r="X37" i="21"/>
  <c r="X82" i="21" s="1"/>
  <c r="V37" i="21"/>
  <c r="V82" i="21" s="1"/>
  <c r="T37" i="21"/>
  <c r="T82" i="21" s="1"/>
  <c r="R37" i="21"/>
  <c r="R82" i="21" s="1"/>
  <c r="P37" i="21"/>
  <c r="P82" i="21" s="1"/>
  <c r="N37" i="21"/>
  <c r="N82" i="21" s="1"/>
  <c r="L37" i="21"/>
  <c r="L82" i="21" s="1"/>
  <c r="J37" i="21"/>
  <c r="J82" i="21" s="1"/>
  <c r="H37" i="21"/>
  <c r="H82" i="21" s="1"/>
  <c r="AD32" i="21"/>
  <c r="AD83" i="21" s="1"/>
  <c r="AD84" i="21" s="1"/>
  <c r="AD104" i="21" s="1"/>
  <c r="AB32" i="21"/>
  <c r="AB83" i="21" s="1"/>
  <c r="AB84" i="21" s="1"/>
  <c r="AB104" i="21" s="1"/>
  <c r="Z32" i="21"/>
  <c r="Z83" i="21" s="1"/>
  <c r="Z84" i="21" s="1"/>
  <c r="Z104" i="21" s="1"/>
  <c r="X32" i="21"/>
  <c r="X83" i="21" s="1"/>
  <c r="X84" i="21" s="1"/>
  <c r="X104" i="21" s="1"/>
  <c r="V32" i="21"/>
  <c r="V83" i="21" s="1"/>
  <c r="V84" i="21" s="1"/>
  <c r="V104" i="21" s="1"/>
  <c r="T32" i="21"/>
  <c r="T83" i="21" s="1"/>
  <c r="T84" i="21" s="1"/>
  <c r="T104" i="21" s="1"/>
  <c r="R32" i="21"/>
  <c r="R83" i="21" s="1"/>
  <c r="R84" i="21" s="1"/>
  <c r="R104" i="21" s="1"/>
  <c r="P32" i="21"/>
  <c r="P83" i="21" s="1"/>
  <c r="P84" i="21" s="1"/>
  <c r="P104" i="21" s="1"/>
  <c r="N32" i="21"/>
  <c r="N83" i="21" s="1"/>
  <c r="N84" i="21" s="1"/>
  <c r="N104" i="21" s="1"/>
  <c r="L32" i="21"/>
  <c r="L83" i="21" s="1"/>
  <c r="L84" i="21" s="1"/>
  <c r="L104" i="21" s="1"/>
  <c r="J32" i="21"/>
  <c r="J83" i="21" s="1"/>
  <c r="J84" i="21" s="1"/>
  <c r="J104" i="21" s="1"/>
  <c r="H32" i="21"/>
  <c r="H83" i="21" s="1"/>
  <c r="H84" i="21" s="1"/>
  <c r="H104" i="21" s="1"/>
  <c r="AD24" i="21"/>
  <c r="AB24" i="21"/>
  <c r="Z24" i="21"/>
  <c r="X24" i="21"/>
  <c r="V24" i="21"/>
  <c r="T24" i="21"/>
  <c r="R24" i="21"/>
  <c r="P24" i="21"/>
  <c r="N24" i="21"/>
  <c r="L24" i="21"/>
  <c r="J24" i="21"/>
  <c r="H24" i="21"/>
  <c r="AD19" i="21"/>
  <c r="AB19" i="21"/>
  <c r="Z19" i="21"/>
  <c r="X19" i="21"/>
  <c r="V19" i="21"/>
  <c r="T19" i="21"/>
  <c r="R19" i="21"/>
  <c r="P19" i="21"/>
  <c r="N19" i="21"/>
  <c r="L19" i="21"/>
  <c r="J19" i="21"/>
  <c r="H19" i="21"/>
  <c r="AD12" i="21"/>
  <c r="AB12" i="21"/>
  <c r="Z12" i="21"/>
  <c r="X12" i="21"/>
  <c r="V12" i="21"/>
  <c r="T12" i="21"/>
  <c r="R12" i="21"/>
  <c r="P12" i="21"/>
  <c r="N12" i="21"/>
  <c r="L12" i="21"/>
  <c r="J12" i="21"/>
  <c r="H12" i="21"/>
  <c r="AD7" i="21"/>
  <c r="AD16" i="21" s="1"/>
  <c r="AD25" i="21" s="1"/>
  <c r="AD26" i="21" s="1"/>
  <c r="AB7" i="21"/>
  <c r="AB16" i="21" s="1"/>
  <c r="AB25" i="21" s="1"/>
  <c r="AB26" i="21" s="1"/>
  <c r="Z7" i="21"/>
  <c r="Z16" i="21" s="1"/>
  <c r="Z25" i="21" s="1"/>
  <c r="Z26" i="21" s="1"/>
  <c r="X7" i="21"/>
  <c r="X16" i="21" s="1"/>
  <c r="X25" i="21" s="1"/>
  <c r="X26" i="21" s="1"/>
  <c r="V7" i="21"/>
  <c r="V16" i="21" s="1"/>
  <c r="V25" i="21" s="1"/>
  <c r="V26" i="21" s="1"/>
  <c r="T7" i="21"/>
  <c r="T16" i="21" s="1"/>
  <c r="T25" i="21" s="1"/>
  <c r="T26" i="21" s="1"/>
  <c r="R7" i="21"/>
  <c r="R16" i="21" s="1"/>
  <c r="R25" i="21" s="1"/>
  <c r="R26" i="21" s="1"/>
  <c r="P7" i="21"/>
  <c r="P16" i="21" s="1"/>
  <c r="P25" i="21" s="1"/>
  <c r="P26" i="21" s="1"/>
  <c r="N7" i="21"/>
  <c r="N16" i="21" s="1"/>
  <c r="N25" i="21" s="1"/>
  <c r="N26" i="21" s="1"/>
  <c r="L7" i="21"/>
  <c r="L16" i="21" s="1"/>
  <c r="L25" i="21" s="1"/>
  <c r="L26" i="21" s="1"/>
  <c r="J7" i="21"/>
  <c r="J16" i="21" s="1"/>
  <c r="J25" i="21" s="1"/>
  <c r="J26" i="21" s="1"/>
  <c r="H7" i="21"/>
  <c r="H16" i="21" s="1"/>
  <c r="H25" i="21" s="1"/>
  <c r="H26" i="21" s="1"/>
  <c r="I13" i="2" l="1"/>
  <c r="P13" i="2" l="1"/>
  <c r="B4" i="2" l="1"/>
  <c r="BB33" i="29"/>
  <c r="BB18" i="29"/>
  <c r="BB19" i="29" s="1"/>
  <c r="I4" i="2" s="1"/>
  <c r="B9" i="2"/>
  <c r="I9" i="2"/>
  <c r="I7" i="2"/>
  <c r="B7" i="2"/>
  <c r="C30" i="5"/>
  <c r="C29" i="5"/>
  <c r="C25" i="5"/>
  <c r="C26" i="5"/>
  <c r="C24" i="5"/>
  <c r="C22" i="5"/>
  <c r="BA29" i="29"/>
  <c r="BB40" i="29"/>
  <c r="BB52" i="29"/>
  <c r="BA52" i="29"/>
  <c r="BC52" i="29" s="1"/>
  <c r="BC51" i="29"/>
  <c r="BB51" i="29"/>
  <c r="BA51" i="29"/>
  <c r="BB50" i="29"/>
  <c r="BA50" i="29" s="1"/>
  <c r="BC50" i="29" s="1"/>
  <c r="BB49" i="29"/>
  <c r="BA49" i="29"/>
  <c r="BC49" i="29" s="1"/>
  <c r="BB48" i="29"/>
  <c r="BA48" i="29"/>
  <c r="BC48" i="29" s="1"/>
  <c r="BC47" i="29"/>
  <c r="BB47" i="29"/>
  <c r="BA47" i="29"/>
  <c r="BB46" i="29"/>
  <c r="BA46" i="29" s="1"/>
  <c r="BC46" i="29" s="1"/>
  <c r="BB45" i="29"/>
  <c r="BA45" i="29"/>
  <c r="BC45" i="29" s="1"/>
  <c r="BB44" i="29"/>
  <c r="BA44" i="29"/>
  <c r="BC44" i="29" s="1"/>
  <c r="BC43" i="29"/>
  <c r="BB43" i="29"/>
  <c r="BA43" i="29"/>
  <c r="BB42" i="29"/>
  <c r="BA42" i="29" s="1"/>
  <c r="BC42" i="29" s="1"/>
  <c r="BB41" i="29"/>
  <c r="BA41" i="29"/>
  <c r="BC41" i="29" s="1"/>
  <c r="BA40" i="29"/>
  <c r="BC40" i="29" s="1"/>
  <c r="BB39" i="29"/>
  <c r="BA39" i="29" s="1"/>
  <c r="BC39" i="29" s="1"/>
  <c r="BB38" i="29"/>
  <c r="BA38" i="29" s="1"/>
  <c r="BC38" i="29" s="1"/>
  <c r="BB37" i="29"/>
  <c r="BA37" i="29"/>
  <c r="BC37" i="29" s="1"/>
  <c r="BB36" i="29"/>
  <c r="BA36" i="29" s="1"/>
  <c r="BC36" i="29" s="1"/>
  <c r="BC35" i="29"/>
  <c r="BB35" i="29"/>
  <c r="BA35" i="29"/>
  <c r="BB32" i="29"/>
  <c r="BA32" i="29"/>
  <c r="BC32" i="29" s="1"/>
  <c r="BB31" i="29"/>
  <c r="BA31" i="29"/>
  <c r="BC31" i="29" s="1"/>
  <c r="BC30" i="29"/>
  <c r="BB30" i="29"/>
  <c r="BA30" i="29"/>
  <c r="BB29" i="29"/>
  <c r="BC29" i="29" s="1"/>
  <c r="BB28" i="29"/>
  <c r="BA28" i="29"/>
  <c r="BC28" i="29" s="1"/>
  <c r="BB27" i="29"/>
  <c r="BA27" i="29" s="1"/>
  <c r="BC27" i="29" s="1"/>
  <c r="BC26" i="29"/>
  <c r="BB26" i="29"/>
  <c r="BA26" i="29"/>
  <c r="BB25" i="29"/>
  <c r="BA25" i="29" s="1"/>
  <c r="BC25" i="29" s="1"/>
  <c r="BB24" i="29"/>
  <c r="BA24" i="29"/>
  <c r="BC24" i="29" s="1"/>
  <c r="BB23" i="29"/>
  <c r="BA23" i="29" s="1"/>
  <c r="BC23" i="29" s="1"/>
  <c r="BB22" i="29"/>
  <c r="BA22" i="29" s="1"/>
  <c r="BC22" i="29" s="1"/>
  <c r="BB21" i="29"/>
  <c r="BA21" i="29" s="1"/>
  <c r="BC21" i="29" s="1"/>
  <c r="BB17" i="29"/>
  <c r="BA17" i="29" s="1"/>
  <c r="BC17" i="29" s="1"/>
  <c r="BB16" i="29"/>
  <c r="BA16" i="29"/>
  <c r="BC16" i="29" s="1"/>
  <c r="BB15" i="29"/>
  <c r="BA15" i="29" s="1"/>
  <c r="BC15" i="29" s="1"/>
  <c r="BC14" i="29"/>
  <c r="BB14" i="29"/>
  <c r="BA14" i="29"/>
  <c r="BB13" i="29"/>
  <c r="BA13" i="29" s="1"/>
  <c r="BC13" i="29" s="1"/>
  <c r="BB12" i="29"/>
  <c r="BA12" i="29"/>
  <c r="BC12" i="29" s="1"/>
  <c r="BB11" i="29"/>
  <c r="BA11" i="29" s="1"/>
  <c r="BC11" i="29" s="1"/>
  <c r="BC10" i="29"/>
  <c r="BB10" i="29"/>
  <c r="BA10" i="29"/>
  <c r="P25" i="2"/>
  <c r="C71" i="5"/>
  <c r="C32" i="5" l="1"/>
  <c r="BA19" i="29"/>
  <c r="BA33" i="29" s="1"/>
  <c r="BC33" i="29"/>
  <c r="BA18" i="29"/>
  <c r="BC18" i="29" s="1"/>
  <c r="BC19" i="29" l="1"/>
  <c r="C23" i="5"/>
  <c r="J92" i="5" l="1"/>
  <c r="P24" i="2"/>
  <c r="C17" i="6"/>
  <c r="I17" i="2"/>
  <c r="I16" i="2"/>
  <c r="C75" i="5"/>
  <c r="C74" i="5"/>
  <c r="C72" i="5"/>
  <c r="C70" i="5"/>
  <c r="AW50" i="29"/>
  <c r="AU50" i="29"/>
  <c r="AO50" i="29"/>
  <c r="AQ50" i="29" s="1"/>
  <c r="AM50" i="29"/>
  <c r="AI50" i="29"/>
  <c r="AG50" i="29"/>
  <c r="AC50" i="29"/>
  <c r="AA50" i="29"/>
  <c r="W50" i="29"/>
  <c r="U50" i="29"/>
  <c r="S50" i="29"/>
  <c r="Q50" i="29"/>
  <c r="O50" i="29"/>
  <c r="M50" i="29"/>
  <c r="I50" i="29"/>
  <c r="G50" i="29"/>
  <c r="AQ49" i="29"/>
  <c r="AE49" i="29"/>
  <c r="AK49" i="29" s="1"/>
  <c r="Y49" i="29"/>
  <c r="K49" i="29"/>
  <c r="AQ48" i="29"/>
  <c r="AK48" i="29"/>
  <c r="AE48" i="29"/>
  <c r="Y48" i="29"/>
  <c r="K48" i="29"/>
  <c r="AQ47" i="29"/>
  <c r="AE47" i="29"/>
  <c r="AK47" i="29" s="1"/>
  <c r="Y47" i="29"/>
  <c r="K47" i="29"/>
  <c r="AS46" i="29"/>
  <c r="AQ46" i="29"/>
  <c r="AE46" i="29"/>
  <c r="AK46" i="29" s="1"/>
  <c r="Y46" i="29"/>
  <c r="K46" i="29"/>
  <c r="AQ45" i="29"/>
  <c r="AE45" i="29"/>
  <c r="AK45" i="29" s="1"/>
  <c r="Y45" i="29"/>
  <c r="K45" i="29"/>
  <c r="AQ44" i="29"/>
  <c r="AE44" i="29"/>
  <c r="AK44" i="29" s="1"/>
  <c r="Y44" i="29"/>
  <c r="K44" i="29"/>
  <c r="AQ43" i="29"/>
  <c r="AE43" i="29"/>
  <c r="AK43" i="29" s="1"/>
  <c r="Y43" i="29"/>
  <c r="AS43" i="29" s="1"/>
  <c r="AY43" i="29" s="1"/>
  <c r="K43" i="29"/>
  <c r="AQ42" i="29"/>
  <c r="AE42" i="29"/>
  <c r="AK42" i="29" s="1"/>
  <c r="Y42" i="29"/>
  <c r="K42" i="29"/>
  <c r="AQ41" i="29"/>
  <c r="AE41" i="29"/>
  <c r="AK41" i="29" s="1"/>
  <c r="Y41" i="29"/>
  <c r="K41" i="29"/>
  <c r="AQ40" i="29"/>
  <c r="AE40" i="29"/>
  <c r="AK40" i="29" s="1"/>
  <c r="Y40" i="29"/>
  <c r="K40" i="29"/>
  <c r="AQ39" i="29"/>
  <c r="AE39" i="29"/>
  <c r="AK39" i="29" s="1"/>
  <c r="Y39" i="29"/>
  <c r="K39" i="29"/>
  <c r="AQ38" i="29"/>
  <c r="AE38" i="29"/>
  <c r="AK38" i="29" s="1"/>
  <c r="Y38" i="29"/>
  <c r="K38" i="29"/>
  <c r="AQ37" i="29"/>
  <c r="AE37" i="29"/>
  <c r="AK37" i="29" s="1"/>
  <c r="Y37" i="29"/>
  <c r="K37" i="29"/>
  <c r="AQ36" i="29"/>
  <c r="AE36" i="29"/>
  <c r="AK36" i="29" s="1"/>
  <c r="Y36" i="29"/>
  <c r="K36" i="29"/>
  <c r="AQ35" i="29"/>
  <c r="AE35" i="29"/>
  <c r="AK35" i="29" s="1"/>
  <c r="Y35" i="29"/>
  <c r="AS35" i="29" s="1"/>
  <c r="K35" i="29"/>
  <c r="AW32" i="29"/>
  <c r="AU32" i="29"/>
  <c r="AO32" i="29"/>
  <c r="AM32" i="29"/>
  <c r="AI32" i="29"/>
  <c r="AG32" i="29"/>
  <c r="AC32" i="29"/>
  <c r="AA32" i="29"/>
  <c r="W32" i="29"/>
  <c r="U32" i="29"/>
  <c r="S32" i="29"/>
  <c r="Q32" i="29"/>
  <c r="O32" i="29"/>
  <c r="M32" i="29"/>
  <c r="I32" i="29"/>
  <c r="G32" i="29"/>
  <c r="AQ31" i="29"/>
  <c r="AE31" i="29"/>
  <c r="AK31" i="29" s="1"/>
  <c r="Y31" i="29"/>
  <c r="K31" i="29"/>
  <c r="AQ28" i="29"/>
  <c r="AE28" i="29"/>
  <c r="AK28" i="29" s="1"/>
  <c r="Y28" i="29"/>
  <c r="K28" i="29"/>
  <c r="AQ27" i="29"/>
  <c r="AE27" i="29"/>
  <c r="AK27" i="29" s="1"/>
  <c r="Y27" i="29"/>
  <c r="K27" i="29"/>
  <c r="AQ26" i="29"/>
  <c r="AE26" i="29"/>
  <c r="AK26" i="29" s="1"/>
  <c r="Y26" i="29"/>
  <c r="K26" i="29"/>
  <c r="AW25" i="29"/>
  <c r="AU25" i="29"/>
  <c r="AO25" i="29"/>
  <c r="AM25" i="29"/>
  <c r="AQ25" i="29" s="1"/>
  <c r="AI25" i="29"/>
  <c r="AG25" i="29"/>
  <c r="AC25" i="29"/>
  <c r="AA25" i="29"/>
  <c r="AE25" i="29" s="1"/>
  <c r="W25" i="29"/>
  <c r="U25" i="29"/>
  <c r="S25" i="29"/>
  <c r="Q25" i="29"/>
  <c r="O25" i="29"/>
  <c r="M25" i="29"/>
  <c r="I25" i="29"/>
  <c r="G25" i="29"/>
  <c r="AS24" i="29"/>
  <c r="AQ24" i="29"/>
  <c r="AE24" i="29"/>
  <c r="AK24" i="29" s="1"/>
  <c r="Y24" i="29"/>
  <c r="K24" i="29"/>
  <c r="AQ23" i="29"/>
  <c r="AE23" i="29"/>
  <c r="AK23" i="29" s="1"/>
  <c r="Y23" i="29"/>
  <c r="K23" i="29"/>
  <c r="AQ22" i="29"/>
  <c r="AE22" i="29"/>
  <c r="AK22" i="29" s="1"/>
  <c r="Y22" i="29"/>
  <c r="K22" i="29"/>
  <c r="AQ21" i="29"/>
  <c r="AE21" i="29"/>
  <c r="AK21" i="29" s="1"/>
  <c r="Y21" i="29"/>
  <c r="K21" i="29"/>
  <c r="AQ18" i="29"/>
  <c r="AE18" i="29"/>
  <c r="AK18" i="29" s="1"/>
  <c r="Y18" i="29"/>
  <c r="K18" i="29"/>
  <c r="AQ17" i="29"/>
  <c r="AE17" i="29"/>
  <c r="AK17" i="29" s="1"/>
  <c r="Y17" i="29"/>
  <c r="K17" i="29"/>
  <c r="AQ16" i="29"/>
  <c r="AE16" i="29"/>
  <c r="AK16" i="29" s="1"/>
  <c r="Y16" i="29"/>
  <c r="K16" i="29"/>
  <c r="AQ15" i="29"/>
  <c r="AE15" i="29"/>
  <c r="AK15" i="29" s="1"/>
  <c r="Y15" i="29"/>
  <c r="K15" i="29"/>
  <c r="AQ14" i="29"/>
  <c r="AE14" i="29"/>
  <c r="AK14" i="29" s="1"/>
  <c r="Y14" i="29"/>
  <c r="K14" i="29"/>
  <c r="AQ13" i="29"/>
  <c r="AK13" i="29"/>
  <c r="AE13" i="29"/>
  <c r="Y13" i="29"/>
  <c r="K13" i="29"/>
  <c r="AQ12" i="29"/>
  <c r="AE12" i="29"/>
  <c r="AK12" i="29" s="1"/>
  <c r="Y12" i="29"/>
  <c r="K12" i="29"/>
  <c r="AW11" i="29"/>
  <c r="AW19" i="29" s="1"/>
  <c r="AW29" i="29" s="1"/>
  <c r="AW33" i="29" s="1"/>
  <c r="AW51" i="29" s="1"/>
  <c r="AW52" i="29" s="1"/>
  <c r="AU11" i="29"/>
  <c r="AU19" i="29" s="1"/>
  <c r="AO11" i="29"/>
  <c r="AO19" i="29" s="1"/>
  <c r="AO29" i="29" s="1"/>
  <c r="AM11" i="29"/>
  <c r="AM19" i="29" s="1"/>
  <c r="AI11" i="29"/>
  <c r="AI19" i="29" s="1"/>
  <c r="AI29" i="29" s="1"/>
  <c r="AI33" i="29" s="1"/>
  <c r="AI51" i="29" s="1"/>
  <c r="AI52" i="29" s="1"/>
  <c r="AG11" i="29"/>
  <c r="AG19" i="29" s="1"/>
  <c r="AC11" i="29"/>
  <c r="AC19" i="29" s="1"/>
  <c r="AC29" i="29" s="1"/>
  <c r="AA11" i="29"/>
  <c r="W11" i="29"/>
  <c r="W19" i="29" s="1"/>
  <c r="W29" i="29" s="1"/>
  <c r="U11" i="29"/>
  <c r="U19" i="29" s="1"/>
  <c r="S11" i="29"/>
  <c r="S19" i="29" s="1"/>
  <c r="Q11" i="29"/>
  <c r="Q19" i="29" s="1"/>
  <c r="Q29" i="29" s="1"/>
  <c r="Q33" i="29" s="1"/>
  <c r="Q51" i="29" s="1"/>
  <c r="Q52" i="29" s="1"/>
  <c r="O11" i="29"/>
  <c r="O19" i="29" s="1"/>
  <c r="O29" i="29" s="1"/>
  <c r="M11" i="29"/>
  <c r="M19" i="29" s="1"/>
  <c r="I11" i="29"/>
  <c r="G11" i="29"/>
  <c r="G19" i="29" s="1"/>
  <c r="AQ10" i="29"/>
  <c r="AE10" i="29"/>
  <c r="AK10" i="29" s="1"/>
  <c r="Y10" i="29"/>
  <c r="K10" i="29"/>
  <c r="CN35" i="30"/>
  <c r="CL35" i="30"/>
  <c r="CH35" i="30"/>
  <c r="CB35" i="30"/>
  <c r="BX35" i="30"/>
  <c r="BV35" i="30"/>
  <c r="BR35" i="30"/>
  <c r="BZ35" i="30" s="1"/>
  <c r="BL35" i="30"/>
  <c r="BJ35" i="30"/>
  <c r="BH35" i="30"/>
  <c r="BH36" i="30" s="1"/>
  <c r="BH37" i="30" s="1"/>
  <c r="BF35" i="30"/>
  <c r="BB35" i="30"/>
  <c r="AZ35" i="30"/>
  <c r="BD35" i="30" s="1"/>
  <c r="BP35" i="30" s="1"/>
  <c r="AX35" i="30"/>
  <c r="AT35" i="30"/>
  <c r="AN35" i="30"/>
  <c r="AL35" i="30"/>
  <c r="AJ35" i="30"/>
  <c r="AR35" i="30" s="1"/>
  <c r="CF35" i="30" s="1"/>
  <c r="AH35" i="30"/>
  <c r="AD35" i="30"/>
  <c r="Z35" i="30"/>
  <c r="V35" i="30"/>
  <c r="AP35" i="30" s="1"/>
  <c r="T35" i="30"/>
  <c r="R35" i="30"/>
  <c r="L35" i="30"/>
  <c r="J35" i="30"/>
  <c r="H35" i="30"/>
  <c r="P35" i="30" s="1"/>
  <c r="F35" i="30"/>
  <c r="N35" i="30" s="1"/>
  <c r="CD34" i="30"/>
  <c r="CB34" i="30"/>
  <c r="CF34" i="30" s="1"/>
  <c r="CR34" i="30" s="1"/>
  <c r="BZ34" i="30"/>
  <c r="BB34" i="30"/>
  <c r="BN34" i="30" s="1"/>
  <c r="AP34" i="30"/>
  <c r="N34" i="30"/>
  <c r="CB33" i="30"/>
  <c r="BZ33" i="30"/>
  <c r="BP33" i="30"/>
  <c r="BD33" i="30"/>
  <c r="BB33" i="30"/>
  <c r="BN33" i="30" s="1"/>
  <c r="AR33" i="30"/>
  <c r="CF33" i="30" s="1"/>
  <c r="AP33" i="30"/>
  <c r="P33" i="30"/>
  <c r="N33" i="30"/>
  <c r="CD32" i="30"/>
  <c r="CB32" i="30"/>
  <c r="BZ32" i="30"/>
  <c r="BN32" i="30"/>
  <c r="BD32" i="30"/>
  <c r="BP32" i="30" s="1"/>
  <c r="BB32" i="30"/>
  <c r="AR32" i="30"/>
  <c r="AP32" i="30"/>
  <c r="P32" i="30"/>
  <c r="N32" i="30"/>
  <c r="BZ31" i="30"/>
  <c r="BB31" i="30"/>
  <c r="BN31" i="30" s="1"/>
  <c r="AP31" i="30"/>
  <c r="P31" i="30"/>
  <c r="CR31" i="30" s="1"/>
  <c r="N31" i="30"/>
  <c r="CB30" i="30"/>
  <c r="BZ30" i="30"/>
  <c r="BD30" i="30"/>
  <c r="BP30" i="30" s="1"/>
  <c r="BB30" i="30"/>
  <c r="BN30" i="30" s="1"/>
  <c r="AR30" i="30"/>
  <c r="AP30" i="30"/>
  <c r="P30" i="30"/>
  <c r="N30" i="30"/>
  <c r="CB29" i="30"/>
  <c r="BZ29" i="30"/>
  <c r="BP29" i="30"/>
  <c r="BN29" i="30"/>
  <c r="BD29" i="30"/>
  <c r="BB29" i="30"/>
  <c r="AR29" i="30"/>
  <c r="CF29" i="30" s="1"/>
  <c r="AP29" i="30"/>
  <c r="CD29" i="30" s="1"/>
  <c r="P29" i="30"/>
  <c r="N29" i="30"/>
  <c r="CP29" i="30" s="1"/>
  <c r="CB28" i="30"/>
  <c r="BZ28" i="30"/>
  <c r="BD28" i="30"/>
  <c r="BP28" i="30" s="1"/>
  <c r="BB28" i="30"/>
  <c r="BN28" i="30" s="1"/>
  <c r="AR28" i="30"/>
  <c r="AP28" i="30"/>
  <c r="P28" i="30"/>
  <c r="N28" i="30"/>
  <c r="CB27" i="30"/>
  <c r="BZ27" i="30"/>
  <c r="BP27" i="30"/>
  <c r="BN27" i="30"/>
  <c r="BD27" i="30"/>
  <c r="BB27" i="30"/>
  <c r="AR27" i="30"/>
  <c r="CF27" i="30" s="1"/>
  <c r="AP27" i="30"/>
  <c r="CD27" i="30" s="1"/>
  <c r="P27" i="30"/>
  <c r="N27" i="30"/>
  <c r="CP27" i="30" s="1"/>
  <c r="CB26" i="30"/>
  <c r="BZ26" i="30"/>
  <c r="BD26" i="30"/>
  <c r="BP26" i="30" s="1"/>
  <c r="BB26" i="30"/>
  <c r="BN26" i="30" s="1"/>
  <c r="AR26" i="30"/>
  <c r="AP26" i="30"/>
  <c r="P26" i="30"/>
  <c r="N26" i="30"/>
  <c r="CB25" i="30"/>
  <c r="BZ25" i="30"/>
  <c r="BP25" i="30"/>
  <c r="BN25" i="30"/>
  <c r="BD25" i="30"/>
  <c r="BB25" i="30"/>
  <c r="AR25" i="30"/>
  <c r="CF25" i="30" s="1"/>
  <c r="AP25" i="30"/>
  <c r="CD25" i="30" s="1"/>
  <c r="P25" i="30"/>
  <c r="N25" i="30"/>
  <c r="CP25" i="30" s="1"/>
  <c r="CB24" i="30"/>
  <c r="BZ24" i="30"/>
  <c r="BD24" i="30"/>
  <c r="BP24" i="30" s="1"/>
  <c r="BB24" i="30"/>
  <c r="BN24" i="30" s="1"/>
  <c r="AR24" i="30"/>
  <c r="AP24" i="30"/>
  <c r="P24" i="30"/>
  <c r="N24" i="30"/>
  <c r="CB23" i="30"/>
  <c r="BZ23" i="30"/>
  <c r="BP23" i="30"/>
  <c r="BN23" i="30"/>
  <c r="BD23" i="30"/>
  <c r="BB23" i="30"/>
  <c r="AR23" i="30"/>
  <c r="CF23" i="30" s="1"/>
  <c r="AP23" i="30"/>
  <c r="CD23" i="30" s="1"/>
  <c r="P23" i="30"/>
  <c r="N23" i="30"/>
  <c r="CP23" i="30" s="1"/>
  <c r="CR22" i="30"/>
  <c r="CF22" i="30"/>
  <c r="BZ22" i="30"/>
  <c r="BP22" i="30"/>
  <c r="BN22" i="30"/>
  <c r="BB22" i="30"/>
  <c r="AP22" i="30"/>
  <c r="CD22" i="30" s="1"/>
  <c r="N22" i="30"/>
  <c r="CP22" i="30" s="1"/>
  <c r="CF21" i="30"/>
  <c r="BZ21" i="30"/>
  <c r="BN21" i="30"/>
  <c r="CD21" i="30" s="1"/>
  <c r="BD21" i="30"/>
  <c r="BP21" i="30" s="1"/>
  <c r="BB21" i="30"/>
  <c r="AP21" i="30"/>
  <c r="P21" i="30"/>
  <c r="N21" i="30"/>
  <c r="CP21" i="30" s="1"/>
  <c r="CR20" i="30"/>
  <c r="BZ20" i="30"/>
  <c r="BN20" i="30"/>
  <c r="BB20" i="30"/>
  <c r="AP20" i="30"/>
  <c r="CD20" i="30" s="1"/>
  <c r="P20" i="30"/>
  <c r="N20" i="30"/>
  <c r="CP19" i="30"/>
  <c r="BZ19" i="30"/>
  <c r="BB19" i="30"/>
  <c r="BN19" i="30" s="1"/>
  <c r="AP19" i="30"/>
  <c r="CD19" i="30" s="1"/>
  <c r="P19" i="30"/>
  <c r="CR19" i="30" s="1"/>
  <c r="N19" i="30"/>
  <c r="CB18" i="30"/>
  <c r="BZ18" i="30"/>
  <c r="BD18" i="30"/>
  <c r="BP18" i="30" s="1"/>
  <c r="BB18" i="30"/>
  <c r="BN18" i="30" s="1"/>
  <c r="AR18" i="30"/>
  <c r="CF18" i="30" s="1"/>
  <c r="CR18" i="30" s="1"/>
  <c r="AP18" i="30"/>
  <c r="CD18" i="30" s="1"/>
  <c r="P18" i="30"/>
  <c r="N18" i="30"/>
  <c r="CR17" i="30"/>
  <c r="BZ17" i="30"/>
  <c r="BN17" i="30"/>
  <c r="BB17" i="30"/>
  <c r="AP17" i="30"/>
  <c r="CD17" i="30" s="1"/>
  <c r="N17" i="30"/>
  <c r="CR14" i="30"/>
  <c r="CN14" i="30"/>
  <c r="CL14" i="30"/>
  <c r="CH14" i="30"/>
  <c r="BV14" i="30"/>
  <c r="BR14" i="30"/>
  <c r="BJ14" i="30"/>
  <c r="BF14" i="30"/>
  <c r="AX14" i="30"/>
  <c r="BB14" i="30" s="1"/>
  <c r="BN14" i="30" s="1"/>
  <c r="AT14" i="30"/>
  <c r="AL14" i="30"/>
  <c r="AH14" i="30"/>
  <c r="AD14" i="30"/>
  <c r="Z14" i="30"/>
  <c r="AP14" i="30" s="1"/>
  <c r="V14" i="30"/>
  <c r="R14" i="30"/>
  <c r="J14" i="30"/>
  <c r="F14" i="30"/>
  <c r="N14" i="30" s="1"/>
  <c r="CR13" i="30"/>
  <c r="BZ13" i="30"/>
  <c r="BN13" i="30"/>
  <c r="BB13" i="30"/>
  <c r="AP13" i="30"/>
  <c r="CD13" i="30" s="1"/>
  <c r="N13" i="30"/>
  <c r="CN11" i="30"/>
  <c r="CN15" i="30" s="1"/>
  <c r="CN36" i="30" s="1"/>
  <c r="CN37" i="30" s="1"/>
  <c r="CL11" i="30"/>
  <c r="CL15" i="30" s="1"/>
  <c r="CL36" i="30" s="1"/>
  <c r="CL37" i="30" s="1"/>
  <c r="CH11" i="30"/>
  <c r="CH15" i="30" s="1"/>
  <c r="CH36" i="30" s="1"/>
  <c r="CH37" i="30" s="1"/>
  <c r="CB11" i="30"/>
  <c r="BX11" i="30"/>
  <c r="BX15" i="30" s="1"/>
  <c r="BV11" i="30"/>
  <c r="BZ11" i="30" s="1"/>
  <c r="BR11" i="30"/>
  <c r="BR15" i="30" s="1"/>
  <c r="BL11" i="30"/>
  <c r="BL15" i="30" s="1"/>
  <c r="BL36" i="30" s="1"/>
  <c r="BL37" i="30" s="1"/>
  <c r="BJ11" i="30"/>
  <c r="BJ15" i="30" s="1"/>
  <c r="BJ36" i="30" s="1"/>
  <c r="BJ37" i="30" s="1"/>
  <c r="BF11" i="30"/>
  <c r="BF15" i="30" s="1"/>
  <c r="BF36" i="30" s="1"/>
  <c r="BF37" i="30" s="1"/>
  <c r="BB11" i="30"/>
  <c r="BN11" i="30" s="1"/>
  <c r="AZ11" i="30"/>
  <c r="AZ15" i="30" s="1"/>
  <c r="AX11" i="30"/>
  <c r="AX15" i="30" s="1"/>
  <c r="AX36" i="30" s="1"/>
  <c r="AX37" i="30" s="1"/>
  <c r="AT11" i="30"/>
  <c r="AT15" i="30" s="1"/>
  <c r="AT36" i="30" s="1"/>
  <c r="AT37" i="30" s="1"/>
  <c r="BB37" i="30" s="1"/>
  <c r="AN11" i="30"/>
  <c r="AN15" i="30" s="1"/>
  <c r="AN36" i="30" s="1"/>
  <c r="AN37" i="30" s="1"/>
  <c r="AL11" i="30"/>
  <c r="AL15" i="30" s="1"/>
  <c r="AL36" i="30" s="1"/>
  <c r="AL37" i="30" s="1"/>
  <c r="AJ11" i="30"/>
  <c r="AR11" i="30" s="1"/>
  <c r="AH11" i="30"/>
  <c r="AH15" i="30" s="1"/>
  <c r="AH36" i="30" s="1"/>
  <c r="AH37" i="30" s="1"/>
  <c r="AD11" i="30"/>
  <c r="AD15" i="30" s="1"/>
  <c r="AD36" i="30" s="1"/>
  <c r="AD37" i="30" s="1"/>
  <c r="Z11" i="30"/>
  <c r="Z15" i="30" s="1"/>
  <c r="Z36" i="30" s="1"/>
  <c r="Z37" i="30" s="1"/>
  <c r="V11" i="30"/>
  <c r="AP11" i="30" s="1"/>
  <c r="CD11" i="30" s="1"/>
  <c r="T11" i="30"/>
  <c r="T15" i="30" s="1"/>
  <c r="T36" i="30" s="1"/>
  <c r="T37" i="30" s="1"/>
  <c r="R11" i="30"/>
  <c r="R15" i="30" s="1"/>
  <c r="R36" i="30" s="1"/>
  <c r="R37" i="30" s="1"/>
  <c r="L11" i="30"/>
  <c r="L15" i="30" s="1"/>
  <c r="L36" i="30" s="1"/>
  <c r="L37" i="30" s="1"/>
  <c r="J11" i="30"/>
  <c r="J15" i="30" s="1"/>
  <c r="J36" i="30" s="1"/>
  <c r="J37" i="30" s="1"/>
  <c r="H11" i="30"/>
  <c r="H15" i="30" s="1"/>
  <c r="F11" i="30"/>
  <c r="F15" i="30" s="1"/>
  <c r="CR10" i="30"/>
  <c r="BZ10" i="30"/>
  <c r="BB10" i="30"/>
  <c r="BN10" i="30" s="1"/>
  <c r="AP10" i="30"/>
  <c r="CD10" i="30" s="1"/>
  <c r="N10" i="30"/>
  <c r="CP10" i="30" s="1"/>
  <c r="BZ9" i="30"/>
  <c r="BB9" i="30"/>
  <c r="BN9" i="30" s="1"/>
  <c r="AP9" i="30"/>
  <c r="CD9" i="30" s="1"/>
  <c r="CP9" i="30" s="1"/>
  <c r="P9" i="30"/>
  <c r="CR9" i="30" s="1"/>
  <c r="N9" i="30"/>
  <c r="CR8" i="30"/>
  <c r="BZ8" i="30"/>
  <c r="BN8" i="30"/>
  <c r="BB8" i="30"/>
  <c r="AP8" i="30"/>
  <c r="CD8" i="30" s="1"/>
  <c r="P8" i="30"/>
  <c r="N8" i="30"/>
  <c r="CB7" i="30"/>
  <c r="BZ7" i="30"/>
  <c r="BP7" i="30"/>
  <c r="CF7" i="30" s="1"/>
  <c r="CR7" i="30" s="1"/>
  <c r="BN7" i="30"/>
  <c r="CD7" i="30" s="1"/>
  <c r="CP7" i="30" s="1"/>
  <c r="BB7" i="30"/>
  <c r="AP7" i="30"/>
  <c r="N7" i="30"/>
  <c r="CF6" i="30"/>
  <c r="CR6" i="30" s="1"/>
  <c r="CB6" i="30"/>
  <c r="BZ6" i="30"/>
  <c r="BP6" i="30"/>
  <c r="BN6" i="30"/>
  <c r="BD6" i="30"/>
  <c r="BB6" i="30"/>
  <c r="AR6" i="30"/>
  <c r="AP6" i="30"/>
  <c r="CD6" i="30" s="1"/>
  <c r="P6" i="30"/>
  <c r="N6" i="30"/>
  <c r="AB59" i="26"/>
  <c r="Z59" i="26"/>
  <c r="T59" i="26"/>
  <c r="R59" i="26"/>
  <c r="L59" i="26"/>
  <c r="J59" i="26"/>
  <c r="AD58" i="26"/>
  <c r="AD59" i="26" s="1"/>
  <c r="AB58" i="26"/>
  <c r="Z58" i="26"/>
  <c r="X58" i="26"/>
  <c r="X59" i="26" s="1"/>
  <c r="V58" i="26"/>
  <c r="V59" i="26" s="1"/>
  <c r="T58" i="26"/>
  <c r="R58" i="26"/>
  <c r="P58" i="26"/>
  <c r="P59" i="26" s="1"/>
  <c r="N58" i="26"/>
  <c r="N59" i="26" s="1"/>
  <c r="L58" i="26"/>
  <c r="J58" i="26"/>
  <c r="H58" i="26"/>
  <c r="H59" i="26" s="1"/>
  <c r="AF57" i="26"/>
  <c r="AD53" i="26"/>
  <c r="AB53" i="26"/>
  <c r="Z53" i="26"/>
  <c r="X53" i="26"/>
  <c r="V53" i="26"/>
  <c r="T53" i="26"/>
  <c r="R53" i="26"/>
  <c r="P53" i="26"/>
  <c r="N53" i="26"/>
  <c r="L53" i="26"/>
  <c r="J53" i="26"/>
  <c r="H53" i="26"/>
  <c r="AF53" i="26" s="1"/>
  <c r="AF52" i="26"/>
  <c r="AF51" i="26"/>
  <c r="AF50" i="26"/>
  <c r="AF49" i="26"/>
  <c r="AF48" i="26"/>
  <c r="AF47" i="26"/>
  <c r="AF46" i="26"/>
  <c r="AF45" i="26"/>
  <c r="AF44" i="26"/>
  <c r="AF43" i="26"/>
  <c r="AF42" i="26"/>
  <c r="AF41" i="26"/>
  <c r="AF40" i="26"/>
  <c r="AF39" i="26"/>
  <c r="AF38" i="26"/>
  <c r="AD35" i="26"/>
  <c r="AB35" i="26"/>
  <c r="Z35" i="26"/>
  <c r="X35" i="26"/>
  <c r="V35" i="26"/>
  <c r="T35" i="26"/>
  <c r="R35" i="26"/>
  <c r="P35" i="26"/>
  <c r="N35" i="26"/>
  <c r="L35" i="26"/>
  <c r="J35" i="26"/>
  <c r="H35" i="26"/>
  <c r="AF35" i="26" s="1"/>
  <c r="AF34" i="26"/>
  <c r="AD31" i="26"/>
  <c r="AB31" i="26"/>
  <c r="Z31" i="26"/>
  <c r="X31" i="26"/>
  <c r="V31" i="26"/>
  <c r="T31" i="26"/>
  <c r="R31" i="26"/>
  <c r="P31" i="26"/>
  <c r="N31" i="26"/>
  <c r="L31" i="26"/>
  <c r="J31" i="26"/>
  <c r="H31" i="26"/>
  <c r="AF31" i="26" s="1"/>
  <c r="AF30" i="26"/>
  <c r="AF29" i="26"/>
  <c r="AF27" i="26"/>
  <c r="AF26" i="26"/>
  <c r="AD25" i="26"/>
  <c r="AB25" i="26"/>
  <c r="Z25" i="26"/>
  <c r="X25" i="26"/>
  <c r="V25" i="26"/>
  <c r="T25" i="26"/>
  <c r="R25" i="26"/>
  <c r="P25" i="26"/>
  <c r="N25" i="26"/>
  <c r="L25" i="26"/>
  <c r="J25" i="26"/>
  <c r="H25" i="26"/>
  <c r="AF25" i="26" s="1"/>
  <c r="AF24" i="26"/>
  <c r="AF23" i="26"/>
  <c r="AF22" i="26"/>
  <c r="AF21" i="26"/>
  <c r="X19" i="26"/>
  <c r="X32" i="26" s="1"/>
  <c r="X36" i="26" s="1"/>
  <c r="X54" i="26" s="1"/>
  <c r="X60" i="26" s="1"/>
  <c r="P19" i="26"/>
  <c r="P32" i="26" s="1"/>
  <c r="P36" i="26" s="1"/>
  <c r="P54" i="26" s="1"/>
  <c r="P60" i="26" s="1"/>
  <c r="H19" i="26"/>
  <c r="H32" i="26" s="1"/>
  <c r="AF18" i="26"/>
  <c r="AF17" i="26"/>
  <c r="AF16" i="26"/>
  <c r="AF15" i="26"/>
  <c r="AF14" i="26"/>
  <c r="AF13" i="26"/>
  <c r="AF12" i="26"/>
  <c r="AF11" i="26"/>
  <c r="AD10" i="26"/>
  <c r="AD19" i="26" s="1"/>
  <c r="AD32" i="26" s="1"/>
  <c r="AD36" i="26" s="1"/>
  <c r="AD54" i="26" s="1"/>
  <c r="AD60" i="26" s="1"/>
  <c r="AB10" i="26"/>
  <c r="AB19" i="26" s="1"/>
  <c r="AB32" i="26" s="1"/>
  <c r="AB36" i="26" s="1"/>
  <c r="AB54" i="26" s="1"/>
  <c r="AB60" i="26" s="1"/>
  <c r="Z10" i="26"/>
  <c r="Z19" i="26" s="1"/>
  <c r="Z32" i="26" s="1"/>
  <c r="Z36" i="26" s="1"/>
  <c r="Z54" i="26" s="1"/>
  <c r="Z60" i="26" s="1"/>
  <c r="X10" i="26"/>
  <c r="V10" i="26"/>
  <c r="V19" i="26" s="1"/>
  <c r="V32" i="26" s="1"/>
  <c r="V36" i="26" s="1"/>
  <c r="V54" i="26" s="1"/>
  <c r="V60" i="26" s="1"/>
  <c r="T10" i="26"/>
  <c r="T19" i="26" s="1"/>
  <c r="T32" i="26" s="1"/>
  <c r="T36" i="26" s="1"/>
  <c r="T54" i="26" s="1"/>
  <c r="T60" i="26" s="1"/>
  <c r="R10" i="26"/>
  <c r="R19" i="26" s="1"/>
  <c r="R32" i="26" s="1"/>
  <c r="R36" i="26" s="1"/>
  <c r="R54" i="26" s="1"/>
  <c r="R60" i="26" s="1"/>
  <c r="P10" i="26"/>
  <c r="N10" i="26"/>
  <c r="N19" i="26" s="1"/>
  <c r="N32" i="26" s="1"/>
  <c r="N36" i="26" s="1"/>
  <c r="N54" i="26" s="1"/>
  <c r="N60" i="26" s="1"/>
  <c r="L10" i="26"/>
  <c r="L19" i="26" s="1"/>
  <c r="L32" i="26" s="1"/>
  <c r="L36" i="26" s="1"/>
  <c r="L54" i="26" s="1"/>
  <c r="L60" i="26" s="1"/>
  <c r="J10" i="26"/>
  <c r="J19" i="26" s="1"/>
  <c r="J32" i="26" s="1"/>
  <c r="J36" i="26" s="1"/>
  <c r="J54" i="26" s="1"/>
  <c r="J60" i="26" s="1"/>
  <c r="H10" i="26"/>
  <c r="AF10" i="26" s="1"/>
  <c r="AF9" i="26"/>
  <c r="AS44" i="29" l="1"/>
  <c r="K11" i="29"/>
  <c r="AC33" i="29"/>
  <c r="AC51" i="29" s="1"/>
  <c r="AC52" i="29" s="1"/>
  <c r="AO33" i="29"/>
  <c r="AO51" i="29" s="1"/>
  <c r="AO52" i="29" s="1"/>
  <c r="K25" i="29"/>
  <c r="Y32" i="29"/>
  <c r="AE50" i="29"/>
  <c r="AK50" i="29" s="1"/>
  <c r="AY46" i="29"/>
  <c r="AS10" i="29"/>
  <c r="AU29" i="29"/>
  <c r="AS15" i="29"/>
  <c r="AY15" i="29" s="1"/>
  <c r="AS18" i="29"/>
  <c r="AY18" i="29" s="1"/>
  <c r="AE32" i="29"/>
  <c r="AK32" i="29" s="1"/>
  <c r="AQ32" i="29"/>
  <c r="AY35" i="29"/>
  <c r="AY24" i="29"/>
  <c r="M29" i="29"/>
  <c r="M33" i="29" s="1"/>
  <c r="M51" i="29" s="1"/>
  <c r="M52" i="29" s="1"/>
  <c r="U29" i="29"/>
  <c r="U33" i="29" s="1"/>
  <c r="U51" i="29" s="1"/>
  <c r="U52" i="29" s="1"/>
  <c r="AG29" i="29"/>
  <c r="AG33" i="29" s="1"/>
  <c r="AG51" i="29" s="1"/>
  <c r="AG52" i="29" s="1"/>
  <c r="AQ11" i="29"/>
  <c r="AS12" i="29"/>
  <c r="AY12" i="29" s="1"/>
  <c r="AS28" i="29"/>
  <c r="AY28" i="29" s="1"/>
  <c r="K32" i="29"/>
  <c r="AS42" i="29"/>
  <c r="AY42" i="29" s="1"/>
  <c r="AY10" i="29"/>
  <c r="W33" i="29"/>
  <c r="W51" i="29" s="1"/>
  <c r="W52" i="29" s="1"/>
  <c r="AU33" i="29"/>
  <c r="AU51" i="29" s="1"/>
  <c r="AU52" i="29" s="1"/>
  <c r="AK25" i="29"/>
  <c r="AS37" i="29"/>
  <c r="AS38" i="29"/>
  <c r="AY38" i="29" s="1"/>
  <c r="AS39" i="29"/>
  <c r="AY39" i="29" s="1"/>
  <c r="AS48" i="29"/>
  <c r="Y50" i="29"/>
  <c r="AS14" i="29"/>
  <c r="I19" i="29"/>
  <c r="I29" i="29" s="1"/>
  <c r="I33" i="29" s="1"/>
  <c r="I51" i="29" s="1"/>
  <c r="I52" i="29" s="1"/>
  <c r="AS22" i="29"/>
  <c r="S29" i="29"/>
  <c r="S33" i="29" s="1"/>
  <c r="S51" i="29" s="1"/>
  <c r="S52" i="29" s="1"/>
  <c r="AY44" i="29"/>
  <c r="AS49" i="29"/>
  <c r="AY49" i="29" s="1"/>
  <c r="K50" i="29"/>
  <c r="G29" i="29"/>
  <c r="O33" i="29"/>
  <c r="AS16" i="29"/>
  <c r="AY16" i="29" s="1"/>
  <c r="Y11" i="29"/>
  <c r="AS23" i="29"/>
  <c r="AY23" i="29" s="1"/>
  <c r="AS32" i="29"/>
  <c r="AE11" i="29"/>
  <c r="AK11" i="29" s="1"/>
  <c r="AA19" i="29"/>
  <c r="AQ19" i="29"/>
  <c r="AM29" i="29"/>
  <c r="AS17" i="29"/>
  <c r="AY17" i="29" s="1"/>
  <c r="Y19" i="29"/>
  <c r="Y25" i="29"/>
  <c r="AS26" i="29"/>
  <c r="AY26" i="29" s="1"/>
  <c r="AS31" i="29"/>
  <c r="AY31" i="29" s="1"/>
  <c r="AS40" i="29"/>
  <c r="AY40" i="29" s="1"/>
  <c r="AS45" i="29"/>
  <c r="AY45" i="29" s="1"/>
  <c r="AS13" i="29"/>
  <c r="AY13" i="29" s="1"/>
  <c r="AY14" i="29"/>
  <c r="AS21" i="29"/>
  <c r="AY21" i="29" s="1"/>
  <c r="AY22" i="29"/>
  <c r="AS27" i="29"/>
  <c r="AY27" i="29" s="1"/>
  <c r="AS36" i="29"/>
  <c r="AY36" i="29" s="1"/>
  <c r="AY37" i="29"/>
  <c r="AS41" i="29"/>
  <c r="AY41" i="29" s="1"/>
  <c r="AS47" i="29"/>
  <c r="AY47" i="29" s="1"/>
  <c r="AY48" i="29"/>
  <c r="F36" i="30"/>
  <c r="N15" i="30"/>
  <c r="CP33" i="30"/>
  <c r="BN37" i="30"/>
  <c r="AJ15" i="30"/>
  <c r="BV15" i="30"/>
  <c r="BV36" i="30" s="1"/>
  <c r="BV37" i="30" s="1"/>
  <c r="BB36" i="30"/>
  <c r="BN36" i="30" s="1"/>
  <c r="CR32" i="30"/>
  <c r="N11" i="30"/>
  <c r="CP11" i="30" s="1"/>
  <c r="CB15" i="30"/>
  <c r="BX36" i="30"/>
  <c r="CP20" i="30"/>
  <c r="CP6" i="30"/>
  <c r="H36" i="30"/>
  <c r="P15" i="30"/>
  <c r="AZ36" i="30"/>
  <c r="BD15" i="30"/>
  <c r="BP15" i="30" s="1"/>
  <c r="BB15" i="30"/>
  <c r="BN15" i="30" s="1"/>
  <c r="CP18" i="30"/>
  <c r="CR21" i="30"/>
  <c r="CR23" i="30"/>
  <c r="CD24" i="30"/>
  <c r="CP24" i="30" s="1"/>
  <c r="CR25" i="30"/>
  <c r="CD26" i="30"/>
  <c r="CP26" i="30" s="1"/>
  <c r="CR27" i="30"/>
  <c r="CD28" i="30"/>
  <c r="CP28" i="30" s="1"/>
  <c r="CR29" i="30"/>
  <c r="CD30" i="30"/>
  <c r="CP30" i="30" s="1"/>
  <c r="CF32" i="30"/>
  <c r="CR33" i="30"/>
  <c r="CR35" i="30"/>
  <c r="BR36" i="30"/>
  <c r="CP8" i="30"/>
  <c r="BZ15" i="30"/>
  <c r="CP13" i="30"/>
  <c r="BZ14" i="30"/>
  <c r="CD14" i="30" s="1"/>
  <c r="CP14" i="30" s="1"/>
  <c r="V15" i="30"/>
  <c r="CP17" i="30"/>
  <c r="CF24" i="30"/>
  <c r="CR24" i="30" s="1"/>
  <c r="CF26" i="30"/>
  <c r="CR26" i="30" s="1"/>
  <c r="CF28" i="30"/>
  <c r="CR28" i="30" s="1"/>
  <c r="CF30" i="30"/>
  <c r="CR30" i="30" s="1"/>
  <c r="CD31" i="30"/>
  <c r="CP31" i="30" s="1"/>
  <c r="CP32" i="30"/>
  <c r="CD33" i="30"/>
  <c r="CP34" i="30"/>
  <c r="BN35" i="30"/>
  <c r="CD35" i="30" s="1"/>
  <c r="CP35" i="30" s="1"/>
  <c r="P11" i="30"/>
  <c r="BD11" i="30"/>
  <c r="BP11" i="30" s="1"/>
  <c r="CF11" i="30" s="1"/>
  <c r="AF32" i="26"/>
  <c r="H36" i="26"/>
  <c r="AF59" i="26"/>
  <c r="AF58" i="26"/>
  <c r="AF19" i="26"/>
  <c r="K19" i="29" l="1"/>
  <c r="AS25" i="29"/>
  <c r="AY25" i="29" s="1"/>
  <c r="AY32" i="29"/>
  <c r="AY50" i="29"/>
  <c r="AS50" i="29"/>
  <c r="Y29" i="29"/>
  <c r="AE19" i="29"/>
  <c r="AK19" i="29" s="1"/>
  <c r="AS19" i="29" s="1"/>
  <c r="AY19" i="29" s="1"/>
  <c r="AA29" i="29"/>
  <c r="G33" i="29"/>
  <c r="K29" i="29"/>
  <c r="AM33" i="29"/>
  <c r="AQ29" i="29"/>
  <c r="AS11" i="29"/>
  <c r="AY11" i="29" s="1"/>
  <c r="O51" i="29"/>
  <c r="Y33" i="29"/>
  <c r="AZ37" i="30"/>
  <c r="BD37" i="30" s="1"/>
  <c r="BP37" i="30" s="1"/>
  <c r="BD36" i="30"/>
  <c r="BP36" i="30" s="1"/>
  <c r="AJ36" i="30"/>
  <c r="AR15" i="30"/>
  <c r="CF15" i="30" s="1"/>
  <c r="CR15" i="30" s="1"/>
  <c r="BX37" i="30"/>
  <c r="CB37" i="30" s="1"/>
  <c r="CB36" i="30"/>
  <c r="AP15" i="30"/>
  <c r="CD15" i="30" s="1"/>
  <c r="V36" i="30"/>
  <c r="H37" i="30"/>
  <c r="P37" i="30" s="1"/>
  <c r="P36" i="30"/>
  <c r="CP15" i="30"/>
  <c r="CR11" i="30"/>
  <c r="BZ36" i="30"/>
  <c r="BR37" i="30"/>
  <c r="BZ37" i="30" s="1"/>
  <c r="F37" i="30"/>
  <c r="N37" i="30" s="1"/>
  <c r="N36" i="30"/>
  <c r="H54" i="26"/>
  <c r="AF36" i="26"/>
  <c r="G51" i="29" l="1"/>
  <c r="K33" i="29"/>
  <c r="AE29" i="29"/>
  <c r="AK29" i="29" s="1"/>
  <c r="AS29" i="29" s="1"/>
  <c r="AY29" i="29" s="1"/>
  <c r="AA33" i="29"/>
  <c r="AM51" i="29"/>
  <c r="AQ33" i="29"/>
  <c r="Y51" i="29"/>
  <c r="O52" i="29"/>
  <c r="Y52" i="29" s="1"/>
  <c r="AJ37" i="30"/>
  <c r="AR37" i="30" s="1"/>
  <c r="CF37" i="30" s="1"/>
  <c r="CR37" i="30" s="1"/>
  <c r="AR36" i="30"/>
  <c r="CF36" i="30" s="1"/>
  <c r="CR36" i="30" s="1"/>
  <c r="AP36" i="30"/>
  <c r="CD36" i="30" s="1"/>
  <c r="CP36" i="30" s="1"/>
  <c r="V37" i="30"/>
  <c r="AP37" i="30" s="1"/>
  <c r="CD37" i="30" s="1"/>
  <c r="CP37" i="30" s="1"/>
  <c r="H60" i="26"/>
  <c r="AF60" i="26" s="1"/>
  <c r="AF54" i="26"/>
  <c r="G52" i="29" l="1"/>
  <c r="K52" i="29" s="1"/>
  <c r="K51" i="29"/>
  <c r="AE33" i="29"/>
  <c r="AK33" i="29" s="1"/>
  <c r="AS33" i="29" s="1"/>
  <c r="AY33" i="29" s="1"/>
  <c r="AA51" i="29"/>
  <c r="AM52" i="29"/>
  <c r="AQ52" i="29" s="1"/>
  <c r="AQ51" i="29"/>
  <c r="AA52" i="29" l="1"/>
  <c r="AE52" i="29" s="1"/>
  <c r="AK52" i="29" s="1"/>
  <c r="AS52" i="29" s="1"/>
  <c r="AE51" i="29"/>
  <c r="AK51" i="29" s="1"/>
  <c r="AS51" i="29" s="1"/>
  <c r="AY51" i="29" s="1"/>
  <c r="AY52" i="29"/>
  <c r="J51" i="24" l="1"/>
  <c r="H51" i="24"/>
  <c r="L51" i="24" s="1"/>
  <c r="L50" i="24"/>
  <c r="J48" i="24"/>
  <c r="H48" i="24"/>
  <c r="L47" i="24"/>
  <c r="L46" i="24"/>
  <c r="L45" i="24"/>
  <c r="L44" i="24"/>
  <c r="L43" i="24"/>
  <c r="L42" i="24"/>
  <c r="L41" i="24"/>
  <c r="L40" i="24"/>
  <c r="L39" i="24"/>
  <c r="L38" i="24"/>
  <c r="L37" i="24"/>
  <c r="L36" i="24"/>
  <c r="L35" i="24"/>
  <c r="L34" i="24"/>
  <c r="L33" i="24"/>
  <c r="L48" i="24" s="1"/>
  <c r="H28" i="24"/>
  <c r="L28" i="24" s="1"/>
  <c r="L27" i="24"/>
  <c r="J27" i="24"/>
  <c r="L24" i="24"/>
  <c r="L23" i="24"/>
  <c r="L22" i="24"/>
  <c r="L21" i="24"/>
  <c r="H21" i="24"/>
  <c r="L20" i="24"/>
  <c r="L19" i="24"/>
  <c r="L18" i="24"/>
  <c r="L17" i="24"/>
  <c r="J15" i="24"/>
  <c r="H15" i="24"/>
  <c r="H25" i="24" s="1"/>
  <c r="L14" i="24"/>
  <c r="L13" i="24"/>
  <c r="L12" i="24"/>
  <c r="L11" i="24"/>
  <c r="L10" i="24"/>
  <c r="L9" i="24"/>
  <c r="L8" i="24"/>
  <c r="L7" i="24"/>
  <c r="H7" i="24"/>
  <c r="L6" i="24"/>
  <c r="L15" i="24" l="1"/>
  <c r="J25" i="24"/>
  <c r="P32" i="2"/>
  <c r="P31" i="2"/>
  <c r="B35" i="2"/>
  <c r="L25" i="24" l="1"/>
  <c r="H47" i="6"/>
  <c r="H49" i="6" l="1"/>
  <c r="F49" i="6"/>
  <c r="H45" i="6"/>
  <c r="I47" i="6"/>
  <c r="I45" i="6"/>
  <c r="I49" i="6"/>
  <c r="H46" i="6"/>
  <c r="G49" i="6"/>
  <c r="G47" i="6"/>
  <c r="G46" i="6"/>
  <c r="G45" i="6"/>
  <c r="D49" i="6"/>
  <c r="D47" i="6"/>
  <c r="D46" i="6"/>
  <c r="D45" i="6"/>
  <c r="C49" i="6" l="1"/>
  <c r="C47" i="6"/>
  <c r="C46" i="6"/>
  <c r="C53" i="6"/>
  <c r="B49" i="6"/>
  <c r="B47" i="6"/>
  <c r="B46" i="6"/>
  <c r="B45" i="6"/>
  <c r="AD84" i="19"/>
  <c r="AD86" i="19" s="1"/>
  <c r="AB84" i="19"/>
  <c r="AB86" i="19" s="1"/>
  <c r="Z84" i="19"/>
  <c r="Z86" i="19" s="1"/>
  <c r="X84" i="19"/>
  <c r="X86" i="19" s="1"/>
  <c r="V84" i="19"/>
  <c r="V86" i="19" s="1"/>
  <c r="T84" i="19"/>
  <c r="T86" i="19" s="1"/>
  <c r="R84" i="19"/>
  <c r="R86" i="19" s="1"/>
  <c r="P84" i="19"/>
  <c r="P86" i="19" s="1"/>
  <c r="N84" i="19"/>
  <c r="N86" i="19" s="1"/>
  <c r="L84" i="19"/>
  <c r="L86" i="19" s="1"/>
  <c r="J84" i="19"/>
  <c r="J86" i="19" s="1"/>
  <c r="H84" i="19"/>
  <c r="H86" i="19" s="1"/>
  <c r="AD76" i="19"/>
  <c r="AB76" i="19"/>
  <c r="Z76" i="19"/>
  <c r="X76" i="19"/>
  <c r="V76" i="19"/>
  <c r="T76" i="19"/>
  <c r="R76" i="19"/>
  <c r="P76" i="19"/>
  <c r="N76" i="19"/>
  <c r="L76" i="19"/>
  <c r="J76" i="19"/>
  <c r="H76" i="19"/>
  <c r="AD66" i="19"/>
  <c r="AB66" i="19"/>
  <c r="Z66" i="19"/>
  <c r="X66" i="19"/>
  <c r="V66" i="19"/>
  <c r="T66" i="19"/>
  <c r="R66" i="19"/>
  <c r="P66" i="19"/>
  <c r="N66" i="19"/>
  <c r="L66" i="19"/>
  <c r="J66" i="19"/>
  <c r="H66" i="19"/>
  <c r="AD62" i="19"/>
  <c r="AD72" i="19" s="1"/>
  <c r="AB62" i="19"/>
  <c r="AB72" i="19" s="1"/>
  <c r="Z62" i="19"/>
  <c r="Z72" i="19" s="1"/>
  <c r="X62" i="19"/>
  <c r="X72" i="19" s="1"/>
  <c r="V62" i="19"/>
  <c r="V72" i="19" s="1"/>
  <c r="T62" i="19"/>
  <c r="T72" i="19" s="1"/>
  <c r="R62" i="19"/>
  <c r="R72" i="19" s="1"/>
  <c r="P62" i="19"/>
  <c r="P72" i="19" s="1"/>
  <c r="N62" i="19"/>
  <c r="N72" i="19" s="1"/>
  <c r="L62" i="19"/>
  <c r="L72" i="19" s="1"/>
  <c r="J62" i="19"/>
  <c r="J72" i="19" s="1"/>
  <c r="H62" i="19"/>
  <c r="H72" i="19" s="1"/>
  <c r="AD53" i="19"/>
  <c r="AD54" i="19" s="1"/>
  <c r="AD55" i="19" s="1"/>
  <c r="AB53" i="19"/>
  <c r="AB54" i="19" s="1"/>
  <c r="AB55" i="19" s="1"/>
  <c r="Z53" i="19"/>
  <c r="Z54" i="19" s="1"/>
  <c r="Z55" i="19" s="1"/>
  <c r="X53" i="19"/>
  <c r="X54" i="19" s="1"/>
  <c r="X55" i="19" s="1"/>
  <c r="V53" i="19"/>
  <c r="V54" i="19" s="1"/>
  <c r="V55" i="19" s="1"/>
  <c r="T53" i="19"/>
  <c r="T54" i="19" s="1"/>
  <c r="T55" i="19" s="1"/>
  <c r="R53" i="19"/>
  <c r="R54" i="19" s="1"/>
  <c r="R55" i="19" s="1"/>
  <c r="P53" i="19"/>
  <c r="P54" i="19" s="1"/>
  <c r="P55" i="19" s="1"/>
  <c r="N53" i="19"/>
  <c r="N54" i="19" s="1"/>
  <c r="N55" i="19" s="1"/>
  <c r="L53" i="19"/>
  <c r="L54" i="19" s="1"/>
  <c r="L55" i="19" s="1"/>
  <c r="J53" i="19"/>
  <c r="J54" i="19" s="1"/>
  <c r="J55" i="19" s="1"/>
  <c r="H53" i="19"/>
  <c r="H54" i="19" s="1"/>
  <c r="H55" i="19" s="1"/>
  <c r="AD45" i="19"/>
  <c r="AD73" i="19" s="1"/>
  <c r="AD77" i="19" s="1"/>
  <c r="AD87" i="19" s="1"/>
  <c r="AB45" i="19"/>
  <c r="AB73" i="19" s="1"/>
  <c r="AB77" i="19" s="1"/>
  <c r="AB87" i="19" s="1"/>
  <c r="Z45" i="19"/>
  <c r="Z73" i="19" s="1"/>
  <c r="Z77" i="19" s="1"/>
  <c r="Z87" i="19" s="1"/>
  <c r="X45" i="19"/>
  <c r="X73" i="19" s="1"/>
  <c r="X77" i="19" s="1"/>
  <c r="X87" i="19" s="1"/>
  <c r="V45" i="19"/>
  <c r="V73" i="19" s="1"/>
  <c r="V77" i="19" s="1"/>
  <c r="V87" i="19" s="1"/>
  <c r="T45" i="19"/>
  <c r="T73" i="19" s="1"/>
  <c r="T77" i="19" s="1"/>
  <c r="T87" i="19" s="1"/>
  <c r="R45" i="19"/>
  <c r="R73" i="19" s="1"/>
  <c r="R77" i="19" s="1"/>
  <c r="R87" i="19" s="1"/>
  <c r="P45" i="19"/>
  <c r="P73" i="19" s="1"/>
  <c r="P77" i="19" s="1"/>
  <c r="P87" i="19" s="1"/>
  <c r="N45" i="19"/>
  <c r="N73" i="19" s="1"/>
  <c r="N77" i="19" s="1"/>
  <c r="N87" i="19" s="1"/>
  <c r="L45" i="19"/>
  <c r="L73" i="19" s="1"/>
  <c r="L77" i="19" s="1"/>
  <c r="L87" i="19" s="1"/>
  <c r="J45" i="19"/>
  <c r="J73" i="19" s="1"/>
  <c r="J77" i="19" s="1"/>
  <c r="J87" i="19" s="1"/>
  <c r="H45" i="19"/>
  <c r="H73" i="19" s="1"/>
  <c r="H77" i="19" s="1"/>
  <c r="H87" i="19" s="1"/>
  <c r="AD38" i="19"/>
  <c r="AB38" i="19"/>
  <c r="Z38" i="19"/>
  <c r="X38" i="19"/>
  <c r="V38" i="19"/>
  <c r="T38" i="19"/>
  <c r="R38" i="19"/>
  <c r="P38" i="19"/>
  <c r="N38" i="19"/>
  <c r="L38" i="19"/>
  <c r="J38" i="19"/>
  <c r="H38" i="19"/>
  <c r="AD35" i="19"/>
  <c r="AB35" i="19"/>
  <c r="Z35" i="19"/>
  <c r="X35" i="19"/>
  <c r="V35" i="19"/>
  <c r="T35" i="19"/>
  <c r="R35" i="19"/>
  <c r="P35" i="19"/>
  <c r="N35" i="19"/>
  <c r="L35" i="19"/>
  <c r="J35" i="19"/>
  <c r="H35" i="19"/>
  <c r="AD26" i="19"/>
  <c r="AD29" i="19" s="1"/>
  <c r="AB26" i="19"/>
  <c r="AB29" i="19" s="1"/>
  <c r="Z26" i="19"/>
  <c r="Z29" i="19" s="1"/>
  <c r="X26" i="19"/>
  <c r="X29" i="19" s="1"/>
  <c r="V26" i="19"/>
  <c r="V29" i="19" s="1"/>
  <c r="T26" i="19"/>
  <c r="T29" i="19" s="1"/>
  <c r="R26" i="19"/>
  <c r="R29" i="19" s="1"/>
  <c r="P26" i="19"/>
  <c r="P29" i="19" s="1"/>
  <c r="N26" i="19"/>
  <c r="N29" i="19" s="1"/>
  <c r="L26" i="19"/>
  <c r="L29" i="19" s="1"/>
  <c r="J26" i="19"/>
  <c r="J29" i="19" s="1"/>
  <c r="H26" i="19"/>
  <c r="H29" i="19" s="1"/>
  <c r="AD17" i="19"/>
  <c r="AB17" i="19"/>
  <c r="Z17" i="19"/>
  <c r="X17" i="19"/>
  <c r="V17" i="19"/>
  <c r="T17" i="19"/>
  <c r="R17" i="19"/>
  <c r="P17" i="19"/>
  <c r="N17" i="19"/>
  <c r="L17" i="19"/>
  <c r="J17" i="19"/>
  <c r="H17" i="19"/>
  <c r="AD12" i="19"/>
  <c r="AD13" i="19" s="1"/>
  <c r="AD14" i="19" s="1"/>
  <c r="AD30" i="19" s="1"/>
  <c r="AD39" i="19" s="1"/>
  <c r="AB12" i="19"/>
  <c r="AB13" i="19" s="1"/>
  <c r="AB14" i="19" s="1"/>
  <c r="AB30" i="19" s="1"/>
  <c r="AB39" i="19" s="1"/>
  <c r="Z12" i="19"/>
  <c r="Z13" i="19" s="1"/>
  <c r="Z14" i="19" s="1"/>
  <c r="Z30" i="19" s="1"/>
  <c r="Z39" i="19" s="1"/>
  <c r="X12" i="19"/>
  <c r="X13" i="19" s="1"/>
  <c r="X14" i="19" s="1"/>
  <c r="X30" i="19" s="1"/>
  <c r="X39" i="19" s="1"/>
  <c r="V12" i="19"/>
  <c r="V13" i="19" s="1"/>
  <c r="V14" i="19" s="1"/>
  <c r="V30" i="19" s="1"/>
  <c r="V39" i="19" s="1"/>
  <c r="T12" i="19"/>
  <c r="T13" i="19" s="1"/>
  <c r="T14" i="19" s="1"/>
  <c r="T30" i="19" s="1"/>
  <c r="T39" i="19" s="1"/>
  <c r="R12" i="19"/>
  <c r="R13" i="19" s="1"/>
  <c r="R14" i="19" s="1"/>
  <c r="R30" i="19" s="1"/>
  <c r="R39" i="19" s="1"/>
  <c r="P12" i="19"/>
  <c r="P13" i="19" s="1"/>
  <c r="P14" i="19" s="1"/>
  <c r="P30" i="19" s="1"/>
  <c r="P39" i="19" s="1"/>
  <c r="N12" i="19"/>
  <c r="N13" i="19" s="1"/>
  <c r="N14" i="19" s="1"/>
  <c r="N30" i="19" s="1"/>
  <c r="N39" i="19" s="1"/>
  <c r="L12" i="19"/>
  <c r="L13" i="19" s="1"/>
  <c r="L14" i="19" s="1"/>
  <c r="L30" i="19" s="1"/>
  <c r="L39" i="19" s="1"/>
  <c r="J12" i="19"/>
  <c r="J13" i="19" s="1"/>
  <c r="J14" i="19" s="1"/>
  <c r="J30" i="19" s="1"/>
  <c r="J39" i="19" s="1"/>
  <c r="H12" i="19"/>
  <c r="H13" i="19" s="1"/>
  <c r="H14" i="19" s="1"/>
  <c r="H30" i="19" s="1"/>
  <c r="H39" i="19" s="1"/>
  <c r="Z64" i="23"/>
  <c r="R64" i="23"/>
  <c r="J64" i="23"/>
  <c r="AD63" i="23"/>
  <c r="AD64" i="23" s="1"/>
  <c r="AB63" i="23"/>
  <c r="AB64" i="23" s="1"/>
  <c r="Z63" i="23"/>
  <c r="X63" i="23"/>
  <c r="X64" i="23" s="1"/>
  <c r="V63" i="23"/>
  <c r="V64" i="23" s="1"/>
  <c r="T63" i="23"/>
  <c r="T64" i="23" s="1"/>
  <c r="R63" i="23"/>
  <c r="P63" i="23"/>
  <c r="P64" i="23" s="1"/>
  <c r="N63" i="23"/>
  <c r="N64" i="23" s="1"/>
  <c r="L63" i="23"/>
  <c r="L64" i="23" s="1"/>
  <c r="J63" i="23"/>
  <c r="H63" i="23"/>
  <c r="H64" i="23" s="1"/>
  <c r="AF62" i="23"/>
  <c r="AD58" i="23"/>
  <c r="AB58" i="23"/>
  <c r="Z58" i="23"/>
  <c r="X58" i="23"/>
  <c r="V58" i="23"/>
  <c r="T58" i="23"/>
  <c r="R58" i="23"/>
  <c r="P58" i="23"/>
  <c r="N58" i="23"/>
  <c r="L58" i="23"/>
  <c r="J58" i="23"/>
  <c r="H58" i="23"/>
  <c r="AF58" i="23" s="1"/>
  <c r="AF57" i="23"/>
  <c r="AF56" i="23"/>
  <c r="AF55" i="23"/>
  <c r="AF54" i="23"/>
  <c r="AF53" i="23"/>
  <c r="AF52" i="23"/>
  <c r="AF51" i="23"/>
  <c r="AF50" i="23"/>
  <c r="AF49" i="23"/>
  <c r="AF48" i="23"/>
  <c r="AF47" i="23"/>
  <c r="AF46" i="23"/>
  <c r="AF45" i="23"/>
  <c r="AF44" i="23"/>
  <c r="AF43" i="23"/>
  <c r="AF42" i="23"/>
  <c r="AF41" i="23"/>
  <c r="AF40" i="23"/>
  <c r="AF39" i="23"/>
  <c r="AD36" i="23"/>
  <c r="AB36" i="23"/>
  <c r="Z36" i="23"/>
  <c r="X36" i="23"/>
  <c r="V36" i="23"/>
  <c r="T36" i="23"/>
  <c r="R36" i="23"/>
  <c r="P36" i="23"/>
  <c r="N36" i="23"/>
  <c r="L36" i="23"/>
  <c r="J36" i="23"/>
  <c r="H36" i="23"/>
  <c r="AF36" i="23" s="1"/>
  <c r="AF35" i="23"/>
  <c r="AF32" i="23"/>
  <c r="AF31" i="23"/>
  <c r="AD30" i="23"/>
  <c r="V30" i="23"/>
  <c r="N30" i="23"/>
  <c r="AD29" i="23"/>
  <c r="AB29" i="23"/>
  <c r="AB30" i="23" s="1"/>
  <c r="Z29" i="23"/>
  <c r="Z30" i="23" s="1"/>
  <c r="X29" i="23"/>
  <c r="X30" i="23" s="1"/>
  <c r="V29" i="23"/>
  <c r="T29" i="23"/>
  <c r="T30" i="23" s="1"/>
  <c r="R29" i="23"/>
  <c r="R30" i="23" s="1"/>
  <c r="P29" i="23"/>
  <c r="P30" i="23" s="1"/>
  <c r="N29" i="23"/>
  <c r="L29" i="23"/>
  <c r="L30" i="23" s="1"/>
  <c r="J29" i="23"/>
  <c r="J30" i="23" s="1"/>
  <c r="H29" i="23"/>
  <c r="AF29" i="23" s="1"/>
  <c r="AF28" i="23"/>
  <c r="AF27" i="23"/>
  <c r="AF26" i="23"/>
  <c r="AF24" i="23"/>
  <c r="AF23" i="23"/>
  <c r="AF22" i="23"/>
  <c r="AF21" i="23"/>
  <c r="AF20" i="23"/>
  <c r="AF19" i="23"/>
  <c r="AD17" i="23"/>
  <c r="AB17" i="23"/>
  <c r="Z17" i="23"/>
  <c r="X17" i="23"/>
  <c r="V17" i="23"/>
  <c r="T17" i="23"/>
  <c r="R17" i="23"/>
  <c r="P17" i="23"/>
  <c r="N17" i="23"/>
  <c r="L17" i="23"/>
  <c r="J17" i="23"/>
  <c r="H17" i="23"/>
  <c r="AF17" i="23" s="1"/>
  <c r="AF16" i="23"/>
  <c r="AF15" i="23"/>
  <c r="AF14" i="23"/>
  <c r="AF13" i="23"/>
  <c r="AF12" i="23"/>
  <c r="AF11" i="23"/>
  <c r="AD9" i="23"/>
  <c r="AD33" i="23" s="1"/>
  <c r="AD37" i="23" s="1"/>
  <c r="AD59" i="23" s="1"/>
  <c r="AD65" i="23" s="1"/>
  <c r="AB9" i="23"/>
  <c r="Z9" i="23"/>
  <c r="X9" i="23"/>
  <c r="V9" i="23"/>
  <c r="V33" i="23" s="1"/>
  <c r="V37" i="23" s="1"/>
  <c r="V59" i="23" s="1"/>
  <c r="V65" i="23" s="1"/>
  <c r="T9" i="23"/>
  <c r="R9" i="23"/>
  <c r="P9" i="23"/>
  <c r="N9" i="23"/>
  <c r="N33" i="23" s="1"/>
  <c r="N37" i="23" s="1"/>
  <c r="N59" i="23" s="1"/>
  <c r="N65" i="23" s="1"/>
  <c r="L9" i="23"/>
  <c r="J9" i="23"/>
  <c r="H9" i="23"/>
  <c r="AF8" i="23"/>
  <c r="AF7" i="23"/>
  <c r="AF6" i="23"/>
  <c r="AF5" i="23"/>
  <c r="BP36" i="7"/>
  <c r="BP37" i="7" s="1"/>
  <c r="AF36" i="7"/>
  <c r="AF37" i="7" s="1"/>
  <c r="DD35" i="7"/>
  <c r="DB35" i="7"/>
  <c r="CT35" i="7"/>
  <c r="CP35" i="7"/>
  <c r="CL35" i="7"/>
  <c r="CX35" i="7" s="1"/>
  <c r="CD35" i="7"/>
  <c r="BX35" i="7"/>
  <c r="BV35" i="7"/>
  <c r="BT35" i="7"/>
  <c r="CB35" i="7" s="1"/>
  <c r="BR35" i="7"/>
  <c r="BP35" i="7"/>
  <c r="BN35" i="7"/>
  <c r="BZ35" i="7" s="1"/>
  <c r="BL35" i="7"/>
  <c r="BF35" i="7"/>
  <c r="BD35" i="7"/>
  <c r="BB35" i="7"/>
  <c r="AZ35" i="7"/>
  <c r="AX35" i="7"/>
  <c r="BJ35" i="7" s="1"/>
  <c r="AV35" i="7"/>
  <c r="AV36" i="7" s="1"/>
  <c r="AV37" i="7" s="1"/>
  <c r="AT35" i="7"/>
  <c r="AR35" i="7"/>
  <c r="AR36" i="7" s="1"/>
  <c r="AR37" i="7" s="1"/>
  <c r="AP35" i="7"/>
  <c r="AL35" i="7"/>
  <c r="AH35" i="7"/>
  <c r="AF35" i="7"/>
  <c r="AD35" i="7"/>
  <c r="AB35" i="7"/>
  <c r="AB36" i="7" s="1"/>
  <c r="Z35" i="7"/>
  <c r="X35" i="7"/>
  <c r="V35" i="7"/>
  <c r="T35" i="7"/>
  <c r="P35" i="7"/>
  <c r="N35" i="7"/>
  <c r="J35" i="7"/>
  <c r="H35" i="7"/>
  <c r="H36" i="7" s="1"/>
  <c r="F35" i="7"/>
  <c r="R35" i="7" s="1"/>
  <c r="DH34" i="7"/>
  <c r="CX34" i="7"/>
  <c r="BZ34" i="7"/>
  <c r="BJ34" i="7"/>
  <c r="CH34" i="7" s="1"/>
  <c r="DF34" i="7" s="1"/>
  <c r="AL34" i="7"/>
  <c r="R34" i="7"/>
  <c r="DH33" i="7"/>
  <c r="CX33" i="7"/>
  <c r="BZ33" i="7"/>
  <c r="BJ33" i="7"/>
  <c r="CH33" i="7" s="1"/>
  <c r="DF33" i="7" s="1"/>
  <c r="AL33" i="7"/>
  <c r="R33" i="7"/>
  <c r="CX32" i="7"/>
  <c r="CB32" i="7"/>
  <c r="BZ32" i="7"/>
  <c r="BL32" i="7"/>
  <c r="BJ32" i="7"/>
  <c r="CH32" i="7" s="1"/>
  <c r="DF32" i="7" s="1"/>
  <c r="AN32" i="7"/>
  <c r="CJ32" i="7" s="1"/>
  <c r="AL32" i="7"/>
  <c r="T32" i="7"/>
  <c r="R32" i="7"/>
  <c r="CX31" i="7"/>
  <c r="CB31" i="7"/>
  <c r="BZ31" i="7"/>
  <c r="BL31" i="7"/>
  <c r="CJ31" i="7" s="1"/>
  <c r="DH31" i="7" s="1"/>
  <c r="BJ31" i="7"/>
  <c r="CH31" i="7" s="1"/>
  <c r="AN31" i="7"/>
  <c r="AL31" i="7"/>
  <c r="T31" i="7"/>
  <c r="R31" i="7"/>
  <c r="CX30" i="7"/>
  <c r="CJ30" i="7"/>
  <c r="CB30" i="7"/>
  <c r="BZ30" i="7"/>
  <c r="BJ30" i="7"/>
  <c r="AL30" i="7"/>
  <c r="CH30" i="7" s="1"/>
  <c r="T30" i="7"/>
  <c r="DH30" i="7" s="1"/>
  <c r="R30" i="7"/>
  <c r="DF30" i="7" s="1"/>
  <c r="CX29" i="7"/>
  <c r="CB29" i="7"/>
  <c r="BZ29" i="7"/>
  <c r="BL29" i="7"/>
  <c r="CJ29" i="7" s="1"/>
  <c r="DH29" i="7" s="1"/>
  <c r="BJ29" i="7"/>
  <c r="CH29" i="7" s="1"/>
  <c r="AN29" i="7"/>
  <c r="AL29" i="7"/>
  <c r="T29" i="7"/>
  <c r="R29" i="7"/>
  <c r="DF29" i="7" s="1"/>
  <c r="CX28" i="7"/>
  <c r="CJ28" i="7"/>
  <c r="DH28" i="7" s="1"/>
  <c r="BZ28" i="7"/>
  <c r="BL28" i="7"/>
  <c r="BJ28" i="7"/>
  <c r="AL28" i="7"/>
  <c r="CH28" i="7" s="1"/>
  <c r="R28" i="7"/>
  <c r="DF28" i="7" s="1"/>
  <c r="CX27" i="7"/>
  <c r="CB27" i="7"/>
  <c r="BZ27" i="7"/>
  <c r="BL27" i="7"/>
  <c r="BJ27" i="7"/>
  <c r="CH27" i="7" s="1"/>
  <c r="DF27" i="7" s="1"/>
  <c r="AN27" i="7"/>
  <c r="CJ27" i="7" s="1"/>
  <c r="AL27" i="7"/>
  <c r="T27" i="7"/>
  <c r="DH27" i="7" s="1"/>
  <c r="R27" i="7"/>
  <c r="CX26" i="7"/>
  <c r="CB26" i="7"/>
  <c r="BZ26" i="7"/>
  <c r="BL26" i="7"/>
  <c r="CJ26" i="7" s="1"/>
  <c r="DH26" i="7" s="1"/>
  <c r="BJ26" i="7"/>
  <c r="CH26" i="7" s="1"/>
  <c r="AN26" i="7"/>
  <c r="AL26" i="7"/>
  <c r="T26" i="7"/>
  <c r="R26" i="7"/>
  <c r="CX25" i="7"/>
  <c r="CB25" i="7"/>
  <c r="BZ25" i="7"/>
  <c r="BL25" i="7"/>
  <c r="CJ25" i="7" s="1"/>
  <c r="BJ25" i="7"/>
  <c r="AN25" i="7"/>
  <c r="AL25" i="7"/>
  <c r="CH25" i="7" s="1"/>
  <c r="DF25" i="7" s="1"/>
  <c r="T25" i="7"/>
  <c r="R25" i="7"/>
  <c r="CX24" i="7"/>
  <c r="CB24" i="7"/>
  <c r="BZ24" i="7"/>
  <c r="BL24" i="7"/>
  <c r="BJ24" i="7"/>
  <c r="AN24" i="7"/>
  <c r="CJ24" i="7" s="1"/>
  <c r="DH24" i="7" s="1"/>
  <c r="AL24" i="7"/>
  <c r="CH24" i="7" s="1"/>
  <c r="T24" i="7"/>
  <c r="R24" i="7"/>
  <c r="DF24" i="7" s="1"/>
  <c r="DF23" i="7"/>
  <c r="CX23" i="7"/>
  <c r="CB23" i="7"/>
  <c r="BZ23" i="7"/>
  <c r="BL23" i="7"/>
  <c r="BJ23" i="7"/>
  <c r="CH23" i="7" s="1"/>
  <c r="AN23" i="7"/>
  <c r="CJ23" i="7" s="1"/>
  <c r="AL23" i="7"/>
  <c r="T23" i="7"/>
  <c r="DH23" i="7" s="1"/>
  <c r="R23" i="7"/>
  <c r="CX22" i="7"/>
  <c r="CB22" i="7"/>
  <c r="BZ22" i="7"/>
  <c r="BL22" i="7"/>
  <c r="CJ22" i="7" s="1"/>
  <c r="DH22" i="7" s="1"/>
  <c r="BJ22" i="7"/>
  <c r="CH22" i="7" s="1"/>
  <c r="AN22" i="7"/>
  <c r="AL22" i="7"/>
  <c r="T22" i="7"/>
  <c r="R22" i="7"/>
  <c r="CX21" i="7"/>
  <c r="CB21" i="7"/>
  <c r="BZ21" i="7"/>
  <c r="BL21" i="7"/>
  <c r="CJ21" i="7" s="1"/>
  <c r="BJ21" i="7"/>
  <c r="AN21" i="7"/>
  <c r="AL21" i="7"/>
  <c r="CH21" i="7" s="1"/>
  <c r="DF21" i="7" s="1"/>
  <c r="T21" i="7"/>
  <c r="R21" i="7"/>
  <c r="DH20" i="7"/>
  <c r="CX20" i="7"/>
  <c r="BZ20" i="7"/>
  <c r="BJ20" i="7"/>
  <c r="AL20" i="7"/>
  <c r="CH20" i="7" s="1"/>
  <c r="T20" i="7"/>
  <c r="R20" i="7"/>
  <c r="CX19" i="7"/>
  <c r="BZ19" i="7"/>
  <c r="BJ19" i="7"/>
  <c r="CH19" i="7" s="1"/>
  <c r="DF19" i="7" s="1"/>
  <c r="AL19" i="7"/>
  <c r="T19" i="7"/>
  <c r="DH19" i="7" s="1"/>
  <c r="R19" i="7"/>
  <c r="DH18" i="7"/>
  <c r="CX18" i="7"/>
  <c r="BZ18" i="7"/>
  <c r="BJ18" i="7"/>
  <c r="AL18" i="7"/>
  <c r="T18" i="7"/>
  <c r="R18" i="7"/>
  <c r="CX17" i="7"/>
  <c r="CB17" i="7"/>
  <c r="BZ17" i="7"/>
  <c r="BL17" i="7"/>
  <c r="CJ17" i="7" s="1"/>
  <c r="BJ17" i="7"/>
  <c r="AN17" i="7"/>
  <c r="AL17" i="7"/>
  <c r="CH17" i="7" s="1"/>
  <c r="T17" i="7"/>
  <c r="R17" i="7"/>
  <c r="CP15" i="7"/>
  <c r="CP36" i="7" s="1"/>
  <c r="CP37" i="7" s="1"/>
  <c r="BV15" i="7"/>
  <c r="BV36" i="7" s="1"/>
  <c r="BV37" i="7" s="1"/>
  <c r="BB15" i="7"/>
  <c r="BB36" i="7" s="1"/>
  <c r="BB37" i="7" s="1"/>
  <c r="AP15" i="7"/>
  <c r="AP36" i="7" s="1"/>
  <c r="AP37" i="7" s="1"/>
  <c r="DD14" i="7"/>
  <c r="DH14" i="7" s="1"/>
  <c r="DB14" i="7"/>
  <c r="CT14" i="7"/>
  <c r="CP14" i="7"/>
  <c r="CL14" i="7"/>
  <c r="CX14" i="7" s="1"/>
  <c r="CD14" i="7"/>
  <c r="BV14" i="7"/>
  <c r="BR14" i="7"/>
  <c r="BN14" i="7"/>
  <c r="BZ14" i="7" s="1"/>
  <c r="BF14" i="7"/>
  <c r="BF15" i="7" s="1"/>
  <c r="BF36" i="7" s="1"/>
  <c r="BF37" i="7" s="1"/>
  <c r="BB14" i="7"/>
  <c r="AX14" i="7"/>
  <c r="BJ14" i="7" s="1"/>
  <c r="AT14" i="7"/>
  <c r="AP14" i="7"/>
  <c r="AH14" i="7"/>
  <c r="AD14" i="7"/>
  <c r="Z14" i="7"/>
  <c r="AL14" i="7" s="1"/>
  <c r="CH14" i="7" s="1"/>
  <c r="V14" i="7"/>
  <c r="N14" i="7"/>
  <c r="J14" i="7"/>
  <c r="R14" i="7" s="1"/>
  <c r="F14" i="7"/>
  <c r="DH13" i="7"/>
  <c r="CX13" i="7"/>
  <c r="BZ13" i="7"/>
  <c r="BJ13" i="7"/>
  <c r="AL13" i="7"/>
  <c r="CH13" i="7" s="1"/>
  <c r="R13" i="7"/>
  <c r="DD11" i="7"/>
  <c r="DD15" i="7" s="1"/>
  <c r="DD36" i="7" s="1"/>
  <c r="DD37" i="7" s="1"/>
  <c r="DB11" i="7"/>
  <c r="DB15" i="7" s="1"/>
  <c r="DB36" i="7" s="1"/>
  <c r="DB37" i="7" s="1"/>
  <c r="CT11" i="7"/>
  <c r="CT15" i="7" s="1"/>
  <c r="CT36" i="7" s="1"/>
  <c r="CT37" i="7" s="1"/>
  <c r="CP11" i="7"/>
  <c r="CX11" i="7" s="1"/>
  <c r="CL11" i="7"/>
  <c r="CD11" i="7"/>
  <c r="CD15" i="7" s="1"/>
  <c r="CD36" i="7" s="1"/>
  <c r="CD37" i="7" s="1"/>
  <c r="BX11" i="7"/>
  <c r="BX15" i="7" s="1"/>
  <c r="BX36" i="7" s="1"/>
  <c r="BX37" i="7" s="1"/>
  <c r="BV11" i="7"/>
  <c r="BT11" i="7"/>
  <c r="BT15" i="7" s="1"/>
  <c r="BR11" i="7"/>
  <c r="BZ11" i="7" s="1"/>
  <c r="BN11" i="7"/>
  <c r="BN15" i="7" s="1"/>
  <c r="BL11" i="7"/>
  <c r="BF11" i="7"/>
  <c r="BD11" i="7"/>
  <c r="BD15" i="7" s="1"/>
  <c r="BD36" i="7" s="1"/>
  <c r="BD37" i="7" s="1"/>
  <c r="BB11" i="7"/>
  <c r="AZ11" i="7"/>
  <c r="AZ15" i="7" s="1"/>
  <c r="AZ36" i="7" s="1"/>
  <c r="AX11" i="7"/>
  <c r="BJ11" i="7" s="1"/>
  <c r="AT11" i="7"/>
  <c r="AT15" i="7" s="1"/>
  <c r="AT36" i="7" s="1"/>
  <c r="AT37" i="7" s="1"/>
  <c r="AP11" i="7"/>
  <c r="AH11" i="7"/>
  <c r="AH15" i="7" s="1"/>
  <c r="AH36" i="7" s="1"/>
  <c r="AH37" i="7" s="1"/>
  <c r="AD11" i="7"/>
  <c r="AD15" i="7" s="1"/>
  <c r="AD36" i="7" s="1"/>
  <c r="AD37" i="7" s="1"/>
  <c r="Z11" i="7"/>
  <c r="AL11" i="7" s="1"/>
  <c r="CH11" i="7" s="1"/>
  <c r="X11" i="7"/>
  <c r="X15" i="7" s="1"/>
  <c r="X36" i="7" s="1"/>
  <c r="X37" i="7" s="1"/>
  <c r="V11" i="7"/>
  <c r="V15" i="7" s="1"/>
  <c r="V36" i="7" s="1"/>
  <c r="V37" i="7" s="1"/>
  <c r="P11" i="7"/>
  <c r="P15" i="7" s="1"/>
  <c r="N11" i="7"/>
  <c r="N15" i="7" s="1"/>
  <c r="N36" i="7" s="1"/>
  <c r="N37" i="7" s="1"/>
  <c r="J11" i="7"/>
  <c r="F11" i="7"/>
  <c r="R11" i="7" s="1"/>
  <c r="DF11" i="7" s="1"/>
  <c r="CX10" i="7"/>
  <c r="CH10" i="7"/>
  <c r="DF10" i="7" s="1"/>
  <c r="BZ10" i="7"/>
  <c r="BJ10" i="7"/>
  <c r="AL10" i="7"/>
  <c r="T10" i="7"/>
  <c r="DH10" i="7" s="1"/>
  <c r="R10" i="7"/>
  <c r="DH9" i="7"/>
  <c r="CX9" i="7"/>
  <c r="BZ9" i="7"/>
  <c r="BJ9" i="7"/>
  <c r="AL9" i="7"/>
  <c r="CH9" i="7" s="1"/>
  <c r="T9" i="7"/>
  <c r="R9" i="7"/>
  <c r="CX8" i="7"/>
  <c r="CJ8" i="7"/>
  <c r="BZ8" i="7"/>
  <c r="BL8" i="7"/>
  <c r="BJ8" i="7"/>
  <c r="AL8" i="7"/>
  <c r="CH8" i="7" s="1"/>
  <c r="DF8" i="7" s="1"/>
  <c r="T8" i="7"/>
  <c r="DH8" i="7" s="1"/>
  <c r="R8" i="7"/>
  <c r="CX7" i="7"/>
  <c r="CB7" i="7"/>
  <c r="BZ7" i="7"/>
  <c r="BL7" i="7"/>
  <c r="CJ7" i="7" s="1"/>
  <c r="DH7" i="7" s="1"/>
  <c r="BJ7" i="7"/>
  <c r="CH7" i="7" s="1"/>
  <c r="AL7" i="7"/>
  <c r="R7" i="7"/>
  <c r="CX6" i="7"/>
  <c r="CH6" i="7"/>
  <c r="DF6" i="7" s="1"/>
  <c r="BZ6" i="7"/>
  <c r="BJ6" i="7"/>
  <c r="AL6" i="7"/>
  <c r="T6" i="7"/>
  <c r="DH6" i="7" s="1"/>
  <c r="R6" i="7"/>
  <c r="P33" i="23" l="1"/>
  <c r="P37" i="23" s="1"/>
  <c r="P59" i="23" s="1"/>
  <c r="P65" i="23" s="1"/>
  <c r="R33" i="23"/>
  <c r="R37" i="23" s="1"/>
  <c r="R59" i="23" s="1"/>
  <c r="R65" i="23" s="1"/>
  <c r="AF64" i="23"/>
  <c r="H33" i="23"/>
  <c r="X33" i="23"/>
  <c r="X37" i="23" s="1"/>
  <c r="X59" i="23" s="1"/>
  <c r="X65" i="23" s="1"/>
  <c r="J33" i="23"/>
  <c r="J37" i="23" s="1"/>
  <c r="J59" i="23" s="1"/>
  <c r="J65" i="23" s="1"/>
  <c r="Z33" i="23"/>
  <c r="Z37" i="23" s="1"/>
  <c r="Z59" i="23" s="1"/>
  <c r="Z65" i="23" s="1"/>
  <c r="L33" i="23"/>
  <c r="L37" i="23" s="1"/>
  <c r="L59" i="23" s="1"/>
  <c r="L65" i="23" s="1"/>
  <c r="T33" i="23"/>
  <c r="T37" i="23" s="1"/>
  <c r="T59" i="23" s="1"/>
  <c r="T65" i="23" s="1"/>
  <c r="AB33" i="23"/>
  <c r="AB37" i="23" s="1"/>
  <c r="AB59" i="23" s="1"/>
  <c r="AB65" i="23" s="1"/>
  <c r="H30" i="23"/>
  <c r="AF30" i="23" s="1"/>
  <c r="AF63" i="23"/>
  <c r="AF9" i="23"/>
  <c r="T15" i="7"/>
  <c r="P36" i="7"/>
  <c r="P37" i="7" s="1"/>
  <c r="DH17" i="7"/>
  <c r="DF26" i="7"/>
  <c r="CB15" i="7"/>
  <c r="BT36" i="7"/>
  <c r="BT37" i="7" s="1"/>
  <c r="CL15" i="7"/>
  <c r="F15" i="7"/>
  <c r="J15" i="7"/>
  <c r="J36" i="7" s="1"/>
  <c r="J37" i="7" s="1"/>
  <c r="AZ37" i="7"/>
  <c r="BL37" i="7" s="1"/>
  <c r="BL36" i="7"/>
  <c r="CJ11" i="7"/>
  <c r="DF13" i="7"/>
  <c r="BL15" i="7"/>
  <c r="CJ15" i="7" s="1"/>
  <c r="DH32" i="7"/>
  <c r="DF22" i="7"/>
  <c r="DF31" i="7"/>
  <c r="DF14" i="7"/>
  <c r="DF18" i="7"/>
  <c r="DF7" i="7"/>
  <c r="DF9" i="7"/>
  <c r="BN36" i="7"/>
  <c r="Z15" i="7"/>
  <c r="DF17" i="7"/>
  <c r="CH18" i="7"/>
  <c r="DF20" i="7"/>
  <c r="DH21" i="7"/>
  <c r="DH25" i="7"/>
  <c r="H37" i="7"/>
  <c r="T37" i="7" s="1"/>
  <c r="T36" i="7"/>
  <c r="AN36" i="7"/>
  <c r="AB37" i="7"/>
  <c r="AN37" i="7" s="1"/>
  <c r="CJ37" i="7" s="1"/>
  <c r="CH35" i="7"/>
  <c r="DF35" i="7" s="1"/>
  <c r="CB37" i="7"/>
  <c r="T11" i="7"/>
  <c r="AN35" i="7"/>
  <c r="CJ35" i="7" s="1"/>
  <c r="DH35" i="7" s="1"/>
  <c r="BR15" i="7"/>
  <c r="BR36" i="7" s="1"/>
  <c r="BR37" i="7" s="1"/>
  <c r="CB36" i="7"/>
  <c r="AX15" i="7"/>
  <c r="CB11" i="7"/>
  <c r="AF33" i="23" l="1"/>
  <c r="H37" i="23"/>
  <c r="BZ15" i="7"/>
  <c r="F36" i="7"/>
  <c r="R15" i="7"/>
  <c r="DF15" i="7" s="1"/>
  <c r="BJ15" i="7"/>
  <c r="AX36" i="7"/>
  <c r="DH11" i="7"/>
  <c r="CJ36" i="7"/>
  <c r="DH36" i="7" s="1"/>
  <c r="DH37" i="7"/>
  <c r="BN37" i="7"/>
  <c r="BZ37" i="7" s="1"/>
  <c r="BZ36" i="7"/>
  <c r="CL36" i="7"/>
  <c r="CX15" i="7"/>
  <c r="AL15" i="7"/>
  <c r="CH15" i="7" s="1"/>
  <c r="Z36" i="7"/>
  <c r="DH15" i="7"/>
  <c r="H59" i="23" l="1"/>
  <c r="AF37" i="23"/>
  <c r="CX36" i="7"/>
  <c r="CL37" i="7"/>
  <c r="CX37" i="7" s="1"/>
  <c r="Z37" i="7"/>
  <c r="AL37" i="7" s="1"/>
  <c r="AL36" i="7"/>
  <c r="F37" i="7"/>
  <c r="R37" i="7" s="1"/>
  <c r="R36" i="7"/>
  <c r="AX37" i="7"/>
  <c r="BJ37" i="7" s="1"/>
  <c r="BJ36" i="7"/>
  <c r="H65" i="23" l="1"/>
  <c r="AF65" i="23" s="1"/>
  <c r="AF59" i="23"/>
  <c r="CH36" i="7"/>
  <c r="CH37" i="7"/>
  <c r="DF37" i="7" s="1"/>
  <c r="DF36" i="7"/>
  <c r="J96" i="5" l="1"/>
  <c r="J94" i="5"/>
  <c r="J93" i="5"/>
  <c r="I96" i="5"/>
  <c r="I94" i="5"/>
  <c r="I93" i="5"/>
  <c r="H96" i="5"/>
  <c r="H94" i="5"/>
  <c r="H93" i="5"/>
  <c r="I92" i="5"/>
  <c r="H92" i="5"/>
  <c r="E96" i="5"/>
  <c r="D96" i="5"/>
  <c r="C96" i="5"/>
  <c r="B96" i="5"/>
  <c r="E94" i="5"/>
  <c r="D94" i="5"/>
  <c r="C94" i="5"/>
  <c r="B94" i="5"/>
  <c r="E93" i="5"/>
  <c r="D93" i="5"/>
  <c r="C93" i="5"/>
  <c r="B93" i="5"/>
  <c r="E92" i="5"/>
  <c r="D92" i="5"/>
  <c r="C92" i="5"/>
  <c r="B92" i="5"/>
  <c r="D30" i="5" l="1"/>
  <c r="K96" i="5" l="1"/>
  <c r="K104" i="5" s="1"/>
  <c r="E104" i="5"/>
  <c r="E102" i="5"/>
  <c r="E101" i="5"/>
  <c r="E100" i="5"/>
  <c r="F96" i="5"/>
  <c r="F94" i="5"/>
  <c r="F93" i="5"/>
  <c r="F92" i="5"/>
  <c r="L96" i="5" l="1"/>
  <c r="L104" i="5" s="1"/>
  <c r="E95" i="5"/>
  <c r="E103" i="5" s="1"/>
  <c r="B31" i="2" l="1"/>
  <c r="C28" i="6"/>
  <c r="C27" i="6"/>
  <c r="C24" i="6"/>
  <c r="C23" i="6"/>
  <c r="B44" i="2"/>
  <c r="C15" i="6"/>
  <c r="B95" i="5" l="1"/>
  <c r="CT7" i="30" l="1"/>
  <c r="CT8" i="30"/>
  <c r="CT9" i="30"/>
  <c r="CT10" i="30"/>
  <c r="CV10" i="30" s="1"/>
  <c r="CT11" i="30"/>
  <c r="CT12" i="30"/>
  <c r="CT13" i="30"/>
  <c r="CT14" i="30"/>
  <c r="CT15" i="30"/>
  <c r="CT17" i="30"/>
  <c r="CT18" i="30"/>
  <c r="CT19" i="30"/>
  <c r="CT20" i="30"/>
  <c r="CT21" i="30"/>
  <c r="CT22" i="30"/>
  <c r="CT23" i="30"/>
  <c r="CT24" i="30"/>
  <c r="CT25" i="30"/>
  <c r="CT26" i="30"/>
  <c r="CT27" i="30"/>
  <c r="CT28" i="30"/>
  <c r="CT29" i="30"/>
  <c r="CT30" i="30"/>
  <c r="CT31" i="30"/>
  <c r="CT32" i="30"/>
  <c r="CT33" i="30"/>
  <c r="CT34" i="30"/>
  <c r="CT35" i="30"/>
  <c r="CT36" i="30"/>
  <c r="CT37" i="30"/>
  <c r="CU17" i="30"/>
  <c r="CV17" i="30" s="1"/>
  <c r="CU18" i="30"/>
  <c r="CU19" i="30"/>
  <c r="CU20" i="30"/>
  <c r="CU21" i="30"/>
  <c r="CU22" i="30"/>
  <c r="CU23" i="30"/>
  <c r="CU24" i="30"/>
  <c r="CU25" i="30"/>
  <c r="CV25" i="30" s="1"/>
  <c r="CU26" i="30"/>
  <c r="CU27" i="30"/>
  <c r="CU28" i="30"/>
  <c r="CU29" i="30"/>
  <c r="CV29" i="30" s="1"/>
  <c r="CU30" i="30"/>
  <c r="CU31" i="30"/>
  <c r="CU32" i="30"/>
  <c r="CU33" i="30"/>
  <c r="CV33" i="30" s="1"/>
  <c r="CU34" i="30"/>
  <c r="CU35" i="30"/>
  <c r="CU36" i="30"/>
  <c r="CU37" i="30"/>
  <c r="CU7" i="30"/>
  <c r="CV7" i="30" s="1"/>
  <c r="CU8" i="30"/>
  <c r="CU9" i="30"/>
  <c r="CU10" i="30"/>
  <c r="CU11" i="30"/>
  <c r="CU12" i="30"/>
  <c r="CU13" i="30"/>
  <c r="CU14" i="30"/>
  <c r="CU15" i="30"/>
  <c r="CT6" i="30"/>
  <c r="CU6" i="30"/>
  <c r="CV6" i="30"/>
  <c r="CV37" i="30"/>
  <c r="CV32" i="30"/>
  <c r="CV28" i="30"/>
  <c r="CV21" i="30"/>
  <c r="CV20" i="30"/>
  <c r="CV12" i="30"/>
  <c r="CV8" i="30"/>
  <c r="CV22" i="30" l="1"/>
  <c r="CV13" i="30"/>
  <c r="CV30" i="30"/>
  <c r="CV36" i="30"/>
  <c r="CV24" i="30"/>
  <c r="CV15" i="30"/>
  <c r="CV11" i="30"/>
  <c r="CV23" i="30"/>
  <c r="CV31" i="30"/>
  <c r="CV18" i="30"/>
  <c r="CV26" i="30"/>
  <c r="CV34" i="30"/>
  <c r="CV19" i="30"/>
  <c r="CV27" i="30"/>
  <c r="CV35" i="30"/>
  <c r="CV14" i="30"/>
  <c r="CV9" i="30"/>
  <c r="C45" i="6" l="1"/>
  <c r="I46" i="6" l="1"/>
  <c r="F45" i="6" l="1"/>
  <c r="J45" i="6" s="1"/>
  <c r="F47" i="6"/>
  <c r="F46" i="6"/>
  <c r="J46" i="6" s="1"/>
  <c r="J47" i="6" l="1"/>
  <c r="I104" i="5" l="1"/>
  <c r="I101" i="5"/>
  <c r="I100" i="5" l="1"/>
  <c r="I102" i="5"/>
  <c r="C4" i="6"/>
  <c r="D24" i="5" l="1"/>
  <c r="I12" i="2"/>
  <c r="B17" i="2" l="1"/>
  <c r="P50" i="2" l="1"/>
  <c r="P9" i="2"/>
  <c r="I40" i="2" l="1"/>
  <c r="M40" i="2" s="1"/>
  <c r="B19" i="2"/>
  <c r="B93" i="2"/>
  <c r="F92" i="2"/>
  <c r="F91" i="2"/>
  <c r="F90" i="2"/>
  <c r="F89" i="2"/>
  <c r="F88" i="2"/>
  <c r="F84" i="2"/>
  <c r="F83" i="2"/>
  <c r="F82" i="2"/>
  <c r="F81" i="2"/>
  <c r="E80" i="2"/>
  <c r="F80" i="2" s="1"/>
  <c r="Q60" i="2"/>
  <c r="S59" i="2"/>
  <c r="Q59" i="2"/>
  <c r="S58" i="2"/>
  <c r="O58" i="2"/>
  <c r="S57" i="2"/>
  <c r="S53" i="2"/>
  <c r="P53" i="2" s="1"/>
  <c r="T53" i="2" s="1"/>
  <c r="S50" i="2"/>
  <c r="T50" i="2" s="1"/>
  <c r="Q50" i="2"/>
  <c r="L50" i="2"/>
  <c r="J50" i="2"/>
  <c r="I50" i="2"/>
  <c r="H50" i="2"/>
  <c r="Q49" i="2"/>
  <c r="L49" i="2"/>
  <c r="C49" i="2"/>
  <c r="J48" i="2"/>
  <c r="J47" i="2"/>
  <c r="J51" i="2" s="1"/>
  <c r="I47" i="2"/>
  <c r="D47" i="2"/>
  <c r="J45" i="2"/>
  <c r="D45" i="2"/>
  <c r="F45" i="2" s="1"/>
  <c r="L43" i="2"/>
  <c r="I43" i="2"/>
  <c r="K43" i="2" s="1"/>
  <c r="F43" i="2"/>
  <c r="Q42" i="2"/>
  <c r="P42" i="2"/>
  <c r="L42" i="2"/>
  <c r="J42" i="2"/>
  <c r="I42" i="2"/>
  <c r="K42" i="2" s="1"/>
  <c r="R41" i="2"/>
  <c r="L41" i="2"/>
  <c r="J41" i="2"/>
  <c r="S40" i="2"/>
  <c r="Q40" i="2"/>
  <c r="F39" i="2"/>
  <c r="D39" i="2"/>
  <c r="S36" i="2"/>
  <c r="P36" i="2" s="1"/>
  <c r="Q36" i="2" s="1"/>
  <c r="Q53" i="2" s="1"/>
  <c r="F36" i="2"/>
  <c r="D36" i="2"/>
  <c r="P33" i="2"/>
  <c r="T33" i="2" s="1"/>
  <c r="S32" i="2"/>
  <c r="T32" i="2" s="1"/>
  <c r="R32" i="2"/>
  <c r="Q31" i="2"/>
  <c r="Q48" i="2" s="1"/>
  <c r="Q51" i="2" s="1"/>
  <c r="E31" i="2"/>
  <c r="Q26" i="2"/>
  <c r="R25" i="2"/>
  <c r="T25" i="2" s="1"/>
  <c r="S23" i="2"/>
  <c r="S22" i="2"/>
  <c r="S26" i="2" s="1"/>
  <c r="P22" i="2"/>
  <c r="R22" i="2" s="1"/>
  <c r="Q19" i="2"/>
  <c r="M19" i="2"/>
  <c r="K19" i="2"/>
  <c r="S18" i="2"/>
  <c r="L44" i="2" s="1"/>
  <c r="Q18" i="2"/>
  <c r="M18" i="2"/>
  <c r="K18" i="2"/>
  <c r="S17" i="2"/>
  <c r="Q17" i="2"/>
  <c r="P17" i="2"/>
  <c r="T17" i="2" s="1"/>
  <c r="L17" i="2"/>
  <c r="L48" i="2" s="1"/>
  <c r="K17" i="2"/>
  <c r="F17" i="2"/>
  <c r="D17" i="2"/>
  <c r="P58" i="2"/>
  <c r="M16" i="2"/>
  <c r="L16" i="2"/>
  <c r="L47" i="2" s="1"/>
  <c r="K16" i="2"/>
  <c r="S12" i="2"/>
  <c r="M12" i="2"/>
  <c r="K12" i="2"/>
  <c r="B12" i="2"/>
  <c r="K9" i="2"/>
  <c r="F9" i="2"/>
  <c r="D9" i="2"/>
  <c r="P8" i="2"/>
  <c r="T8" i="2" s="1"/>
  <c r="S7" i="2"/>
  <c r="L32" i="2" s="1"/>
  <c r="Q7" i="2"/>
  <c r="J32" i="2" s="1"/>
  <c r="L6" i="2"/>
  <c r="L10" i="2" s="1"/>
  <c r="L13" i="2" s="1"/>
  <c r="E6" i="2"/>
  <c r="E10" i="2" s="1"/>
  <c r="E13" i="2" s="1"/>
  <c r="E19" i="2" s="1"/>
  <c r="S4" i="2"/>
  <c r="S6" i="2" s="1"/>
  <c r="Q4" i="2"/>
  <c r="Q6" i="2" s="1"/>
  <c r="J31" i="2" s="1"/>
  <c r="J33" i="2" s="1"/>
  <c r="E30" i="5"/>
  <c r="B33" i="5" s="1"/>
  <c r="E29" i="5"/>
  <c r="H108" i="5"/>
  <c r="D110" i="5"/>
  <c r="C110" i="5"/>
  <c r="D109" i="5"/>
  <c r="C109" i="5"/>
  <c r="B101" i="5"/>
  <c r="C100" i="5"/>
  <c r="B108" i="5"/>
  <c r="J110" i="5"/>
  <c r="F88" i="5"/>
  <c r="C87" i="5" s="1"/>
  <c r="H87" i="5"/>
  <c r="B87" i="5"/>
  <c r="K84" i="5"/>
  <c r="F84" i="5"/>
  <c r="B75" i="5"/>
  <c r="C77" i="5" s="1"/>
  <c r="B72" i="5"/>
  <c r="B71" i="5"/>
  <c r="C66" i="5" s="1"/>
  <c r="D62" i="5"/>
  <c r="B74" i="5" s="1"/>
  <c r="B43" i="5"/>
  <c r="E42" i="5"/>
  <c r="D42" i="5"/>
  <c r="B7" i="5"/>
  <c r="E6" i="5"/>
  <c r="D6" i="5"/>
  <c r="E24" i="5"/>
  <c r="B27" i="5" s="1"/>
  <c r="H101" i="5"/>
  <c r="I110" i="5"/>
  <c r="B112" i="5"/>
  <c r="C112" i="5"/>
  <c r="J40" i="2" l="1"/>
  <c r="R17" i="2"/>
  <c r="Q20" i="2"/>
  <c r="S31" i="2"/>
  <c r="E34" i="2"/>
  <c r="E37" i="2" s="1"/>
  <c r="E40" i="2" s="1"/>
  <c r="E47" i="2" s="1"/>
  <c r="Q43" i="2"/>
  <c r="M50" i="2"/>
  <c r="K50" i="2"/>
  <c r="J102" i="5"/>
  <c r="F93" i="2"/>
  <c r="D19" i="2"/>
  <c r="J109" i="5"/>
  <c r="H112" i="5"/>
  <c r="K94" i="5"/>
  <c r="H100" i="5"/>
  <c r="B109" i="5"/>
  <c r="F108" i="5"/>
  <c r="D100" i="5"/>
  <c r="B100" i="5" s="1"/>
  <c r="F100" i="5" s="1"/>
  <c r="K92" i="5"/>
  <c r="K108" i="5" s="1"/>
  <c r="P19" i="2"/>
  <c r="R19" i="2" s="1"/>
  <c r="S34" i="2"/>
  <c r="S37" i="2" s="1"/>
  <c r="M43" i="2"/>
  <c r="D108" i="5"/>
  <c r="I87" i="5" s="1"/>
  <c r="K86" i="5"/>
  <c r="D102" i="5" s="1"/>
  <c r="C102" i="5" s="1"/>
  <c r="F86" i="5" s="1"/>
  <c r="P34" i="2"/>
  <c r="P37" i="2" s="1"/>
  <c r="R53" i="2"/>
  <c r="R42" i="2"/>
  <c r="J44" i="2"/>
  <c r="J46" i="2" s="1"/>
  <c r="J52" i="2" s="1"/>
  <c r="K47" i="2"/>
  <c r="Q10" i="2"/>
  <c r="M9" i="2"/>
  <c r="K20" i="2"/>
  <c r="T37" i="2"/>
  <c r="E20" i="2"/>
  <c r="S19" i="2"/>
  <c r="T31" i="2"/>
  <c r="T34" i="2" s="1"/>
  <c r="F47" i="2"/>
  <c r="S42" i="2"/>
  <c r="S43" i="2" s="1"/>
  <c r="E49" i="2"/>
  <c r="S60" i="2"/>
  <c r="S61" i="2" s="1"/>
  <c r="L51" i="2"/>
  <c r="Q58" i="2"/>
  <c r="Q61" i="2" s="1"/>
  <c r="L35" i="2"/>
  <c r="Q12" i="2"/>
  <c r="L31" i="2"/>
  <c r="L33" i="2" s="1"/>
  <c r="S10" i="2"/>
  <c r="S13" i="2" s="1"/>
  <c r="R31" i="2"/>
  <c r="R34" i="2" s="1"/>
  <c r="T36" i="2"/>
  <c r="R36" i="2"/>
  <c r="F12" i="2"/>
  <c r="T58" i="2"/>
  <c r="Q27" i="2"/>
  <c r="Q54" i="2"/>
  <c r="T9" i="2"/>
  <c r="P12" i="2"/>
  <c r="M17" i="2"/>
  <c r="F19" i="2"/>
  <c r="I20" i="2"/>
  <c r="T22" i="2"/>
  <c r="Q34" i="2"/>
  <c r="Q37" i="2" s="1"/>
  <c r="R50" i="2"/>
  <c r="P60" i="2"/>
  <c r="M42" i="2"/>
  <c r="M47" i="2"/>
  <c r="P23" i="2"/>
  <c r="K40" i="2"/>
  <c r="L20" i="2"/>
  <c r="D104" i="5"/>
  <c r="J104" i="5"/>
  <c r="I108" i="5"/>
  <c r="J108" i="5"/>
  <c r="J100" i="5"/>
  <c r="C95" i="5"/>
  <c r="C104" i="5"/>
  <c r="B104" i="5"/>
  <c r="D95" i="5"/>
  <c r="B41" i="5"/>
  <c r="B35" i="5"/>
  <c r="L86" i="5"/>
  <c r="B4" i="5"/>
  <c r="D29" i="5"/>
  <c r="L84" i="5"/>
  <c r="F112" i="5"/>
  <c r="B102" i="5"/>
  <c r="C108" i="5"/>
  <c r="I109" i="5"/>
  <c r="B110" i="5"/>
  <c r="D112" i="5"/>
  <c r="J112" i="5"/>
  <c r="D87" i="5"/>
  <c r="F87" i="5" s="1"/>
  <c r="J87" i="5"/>
  <c r="B55" i="5"/>
  <c r="F102" i="5" l="1"/>
  <c r="C111" i="5"/>
  <c r="F95" i="5"/>
  <c r="F111" i="5" s="1"/>
  <c r="F104" i="5"/>
  <c r="K110" i="5"/>
  <c r="R37" i="2"/>
  <c r="J95" i="5"/>
  <c r="J103" i="5" s="1"/>
  <c r="I45" i="2"/>
  <c r="M45" i="2" s="1"/>
  <c r="H95" i="5"/>
  <c r="H103" i="5" s="1"/>
  <c r="C103" i="5"/>
  <c r="H104" i="5"/>
  <c r="I112" i="5"/>
  <c r="I95" i="5"/>
  <c r="K93" i="5"/>
  <c r="H110" i="5"/>
  <c r="H102" i="5"/>
  <c r="K100" i="5"/>
  <c r="J101" i="5"/>
  <c r="K85" i="5" s="1"/>
  <c r="K102" i="5"/>
  <c r="L94" i="5"/>
  <c r="L110" i="5" s="1"/>
  <c r="F110" i="5"/>
  <c r="L92" i="5"/>
  <c r="L100" i="5" s="1"/>
  <c r="M20" i="2"/>
  <c r="T19" i="2"/>
  <c r="L45" i="2"/>
  <c r="L46" i="2" s="1"/>
  <c r="L52" i="2" s="1"/>
  <c r="S20" i="2"/>
  <c r="R24" i="2"/>
  <c r="I49" i="2"/>
  <c r="T24" i="2"/>
  <c r="L37" i="2"/>
  <c r="I35" i="2"/>
  <c r="R23" i="2"/>
  <c r="I48" i="2"/>
  <c r="T23" i="2"/>
  <c r="P26" i="2"/>
  <c r="T42" i="2"/>
  <c r="E87" i="2"/>
  <c r="F87" i="2" s="1"/>
  <c r="T12" i="2"/>
  <c r="R58" i="2"/>
  <c r="R60" i="2"/>
  <c r="T60" i="2"/>
  <c r="Q13" i="2"/>
  <c r="J37" i="2" s="1"/>
  <c r="R12" i="2"/>
  <c r="J35" i="2"/>
  <c r="K35" i="2" s="1"/>
  <c r="D103" i="5"/>
  <c r="B111" i="5"/>
  <c r="B103" i="5"/>
  <c r="D111" i="5"/>
  <c r="B61" i="5"/>
  <c r="K87" i="5"/>
  <c r="B5" i="5"/>
  <c r="B44" i="5"/>
  <c r="B48" i="5" s="1"/>
  <c r="K45" i="2" l="1"/>
  <c r="F103" i="5"/>
  <c r="D101" i="5"/>
  <c r="C101" i="5" s="1"/>
  <c r="F101" i="5" s="1"/>
  <c r="K101" i="5"/>
  <c r="D32" i="5"/>
  <c r="E32" i="5"/>
  <c r="C33" i="5"/>
  <c r="D26" i="5"/>
  <c r="J111" i="5"/>
  <c r="K95" i="5"/>
  <c r="K111" i="5" s="1"/>
  <c r="K109" i="5"/>
  <c r="D22" i="5"/>
  <c r="D25" i="5"/>
  <c r="E25" i="5"/>
  <c r="L93" i="5"/>
  <c r="H111" i="5"/>
  <c r="L102" i="5"/>
  <c r="F85" i="5"/>
  <c r="I111" i="5"/>
  <c r="I103" i="5"/>
  <c r="L108" i="5"/>
  <c r="S27" i="2"/>
  <c r="R20" i="2"/>
  <c r="T26" i="2"/>
  <c r="M35" i="2"/>
  <c r="M49" i="2"/>
  <c r="P57" i="2"/>
  <c r="K49" i="2"/>
  <c r="K48" i="2"/>
  <c r="M48" i="2"/>
  <c r="I51" i="2"/>
  <c r="R26" i="2"/>
  <c r="B8" i="5"/>
  <c r="L87" i="5"/>
  <c r="K88" i="5"/>
  <c r="C63" i="5"/>
  <c r="E26" i="5" l="1"/>
  <c r="F109" i="5"/>
  <c r="L85" i="5"/>
  <c r="L109" i="5"/>
  <c r="C41" i="5"/>
  <c r="D33" i="5"/>
  <c r="E33" i="5"/>
  <c r="L101" i="5"/>
  <c r="L95" i="5"/>
  <c r="L111" i="5" s="1"/>
  <c r="K103" i="5"/>
  <c r="E23" i="5"/>
  <c r="D23" i="5"/>
  <c r="C27" i="5"/>
  <c r="E22" i="5"/>
  <c r="I6" i="2"/>
  <c r="M4" i="2"/>
  <c r="K4" i="2"/>
  <c r="R27" i="2"/>
  <c r="K51" i="2"/>
  <c r="R57" i="2"/>
  <c r="T57" i="2"/>
  <c r="M51" i="2"/>
  <c r="B11" i="5"/>
  <c r="B14" i="5" s="1"/>
  <c r="L88" i="5"/>
  <c r="K112" i="5"/>
  <c r="I10" i="2" l="1"/>
  <c r="E41" i="5"/>
  <c r="D41" i="5"/>
  <c r="L103" i="5"/>
  <c r="E27" i="5"/>
  <c r="C4" i="5"/>
  <c r="C35" i="5"/>
  <c r="D27" i="5"/>
  <c r="M6" i="2"/>
  <c r="K6" i="2"/>
  <c r="B70" i="5"/>
  <c r="B77" i="5" s="1"/>
  <c r="B17" i="5"/>
  <c r="B63" i="5"/>
  <c r="L112" i="5"/>
  <c r="K13" i="2" l="1"/>
  <c r="P7" i="2"/>
  <c r="P49" i="2"/>
  <c r="F7" i="2"/>
  <c r="D7" i="2"/>
  <c r="K7" i="2"/>
  <c r="M7" i="2"/>
  <c r="M10" i="2" s="1"/>
  <c r="M13" i="2" s="1"/>
  <c r="D35" i="5"/>
  <c r="C61" i="5"/>
  <c r="C64" i="5" s="1"/>
  <c r="E35" i="5"/>
  <c r="D4" i="5"/>
  <c r="C5" i="5"/>
  <c r="E4" i="5"/>
  <c r="D63" i="5"/>
  <c r="B64" i="5"/>
  <c r="E63" i="5"/>
  <c r="S49" i="2" l="1"/>
  <c r="K10" i="2"/>
  <c r="R49" i="2"/>
  <c r="T49" i="2"/>
  <c r="R7" i="2"/>
  <c r="T7" i="2"/>
  <c r="D61" i="5"/>
  <c r="C67" i="5"/>
  <c r="E61" i="5"/>
  <c r="D5" i="5"/>
  <c r="E5" i="5"/>
  <c r="P48" i="2"/>
  <c r="F4" i="2"/>
  <c r="S48" i="2" s="1"/>
  <c r="S51" i="2" s="1"/>
  <c r="S54" i="2" s="1"/>
  <c r="B6" i="2"/>
  <c r="B10" i="2" s="1"/>
  <c r="D4" i="2"/>
  <c r="D10" i="2" s="1"/>
  <c r="P4" i="2"/>
  <c r="B67" i="5"/>
  <c r="B13" i="2" l="1"/>
  <c r="B20" i="2" s="1"/>
  <c r="B18" i="2" s="1"/>
  <c r="D64" i="5"/>
  <c r="D6" i="2"/>
  <c r="F6" i="2"/>
  <c r="F10" i="2" s="1"/>
  <c r="R4" i="2"/>
  <c r="R10" i="2" s="1"/>
  <c r="P6" i="2"/>
  <c r="T4" i="2"/>
  <c r="R48" i="2"/>
  <c r="T48" i="2"/>
  <c r="T51" i="2" s="1"/>
  <c r="P51" i="2"/>
  <c r="F13" i="2" l="1"/>
  <c r="D13" i="2"/>
  <c r="P54" i="2"/>
  <c r="R51" i="2"/>
  <c r="T6" i="2"/>
  <c r="R6" i="2"/>
  <c r="P10" i="2"/>
  <c r="P18" i="2" l="1"/>
  <c r="D20" i="2"/>
  <c r="F20" i="2"/>
  <c r="T10" i="2"/>
  <c r="R54" i="2"/>
  <c r="T54" i="2"/>
  <c r="D18" i="2" l="1"/>
  <c r="F18" i="2"/>
  <c r="R13" i="2"/>
  <c r="T13" i="2"/>
  <c r="D54" i="6"/>
  <c r="D53" i="6"/>
  <c r="C54" i="6"/>
  <c r="B61" i="6"/>
  <c r="D57" i="6"/>
  <c r="C57" i="6"/>
  <c r="I41" i="2" l="1"/>
  <c r="D44" i="2"/>
  <c r="F44" i="2"/>
  <c r="R18" i="2"/>
  <c r="P20" i="2"/>
  <c r="T18" i="2"/>
  <c r="F53" i="6"/>
  <c r="F55" i="6"/>
  <c r="E45" i="6"/>
  <c r="K41" i="2" l="1"/>
  <c r="M41" i="2"/>
  <c r="T20" i="2"/>
  <c r="P27" i="2"/>
  <c r="P28" i="2" s="1"/>
  <c r="C26" i="6"/>
  <c r="B32" i="2" s="1"/>
  <c r="D32" i="2" l="1"/>
  <c r="F32" i="2"/>
  <c r="T27" i="2"/>
  <c r="E46" i="6" l="1"/>
  <c r="K46" i="6" s="1"/>
  <c r="E47" i="6"/>
  <c r="K47" i="6" s="1"/>
  <c r="B48" i="6" l="1"/>
  <c r="B57" i="6"/>
  <c r="E25" i="6" l="1"/>
  <c r="H62" i="6" l="1"/>
  <c r="C11" i="6"/>
  <c r="D38" i="6" l="1"/>
  <c r="C38" i="6"/>
  <c r="B38" i="6"/>
  <c r="B24" i="6"/>
  <c r="B39" i="6" l="1"/>
  <c r="B56" i="6" s="1"/>
  <c r="B55" i="6"/>
  <c r="C63" i="6"/>
  <c r="C55" i="6"/>
  <c r="C39" i="6"/>
  <c r="D39" i="6"/>
  <c r="D55" i="6"/>
  <c r="D8" i="6"/>
  <c r="F63" i="6" l="1"/>
  <c r="D25" i="6" l="1"/>
  <c r="I62" i="6"/>
  <c r="D63" i="6"/>
  <c r="E26" i="6"/>
  <c r="I48" i="6" l="1"/>
  <c r="F48" i="6"/>
  <c r="G62" i="6"/>
  <c r="G54" i="6"/>
  <c r="J49" i="6"/>
  <c r="J36" i="6" l="1"/>
  <c r="J37" i="6"/>
  <c r="J38" i="6"/>
  <c r="J39" i="6"/>
  <c r="F40" i="6"/>
  <c r="G40" i="6"/>
  <c r="H40" i="6"/>
  <c r="I40" i="6"/>
  <c r="I57" i="6" s="1"/>
  <c r="E36" i="6"/>
  <c r="E61" i="6" s="1"/>
  <c r="E37" i="6"/>
  <c r="E38" i="6"/>
  <c r="E39" i="6"/>
  <c r="G4" i="6"/>
  <c r="H79" i="6" s="1"/>
  <c r="H85" i="6" s="1"/>
  <c r="D23" i="6"/>
  <c r="D26" i="6"/>
  <c r="F26" i="6"/>
  <c r="D27" i="6"/>
  <c r="D28" i="6"/>
  <c r="B29" i="6"/>
  <c r="E24" i="6"/>
  <c r="B53" i="6"/>
  <c r="F61" i="6"/>
  <c r="G53" i="6"/>
  <c r="I61" i="6"/>
  <c r="B54" i="6"/>
  <c r="D62" i="6"/>
  <c r="F54" i="6"/>
  <c r="I54" i="6"/>
  <c r="G63" i="6"/>
  <c r="H63" i="6"/>
  <c r="I81" i="6"/>
  <c r="I87" i="6" s="1"/>
  <c r="H53" i="6"/>
  <c r="G55" i="6"/>
  <c r="H55" i="6"/>
  <c r="I55" i="6"/>
  <c r="D61" i="6"/>
  <c r="I63" i="6"/>
  <c r="C65" i="6"/>
  <c r="B79" i="6"/>
  <c r="B85" i="6" s="1"/>
  <c r="G80" i="6"/>
  <c r="G86" i="6" s="1"/>
  <c r="G87" i="6"/>
  <c r="B82" i="6" l="1"/>
  <c r="D81" i="6"/>
  <c r="D87" i="6" s="1"/>
  <c r="B80" i="6"/>
  <c r="B86" i="6" s="1"/>
  <c r="D79" i="6"/>
  <c r="D85" i="6" s="1"/>
  <c r="D80" i="6"/>
  <c r="D86" i="6" s="1"/>
  <c r="B81" i="6"/>
  <c r="B87" i="6" s="1"/>
  <c r="I79" i="6"/>
  <c r="I85" i="6" s="1"/>
  <c r="C81" i="6"/>
  <c r="C87" i="6" s="1"/>
  <c r="E40" i="6"/>
  <c r="K36" i="6"/>
  <c r="K39" i="6"/>
  <c r="K38" i="6"/>
  <c r="K37" i="6"/>
  <c r="C61" i="6"/>
  <c r="H81" i="6"/>
  <c r="H87" i="6" s="1"/>
  <c r="C79" i="6"/>
  <c r="C80" i="6"/>
  <c r="C86" i="6" s="1"/>
  <c r="C62" i="6"/>
  <c r="G79" i="6"/>
  <c r="G85" i="6" s="1"/>
  <c r="B62" i="6"/>
  <c r="G61" i="6"/>
  <c r="G48" i="6"/>
  <c r="H80" i="6"/>
  <c r="H86" i="6" s="1"/>
  <c r="H61" i="6"/>
  <c r="H54" i="6"/>
  <c r="I53" i="6"/>
  <c r="F80" i="6"/>
  <c r="F86" i="6" s="1"/>
  <c r="I65" i="6"/>
  <c r="F62" i="6"/>
  <c r="F56" i="6"/>
  <c r="J62" i="6"/>
  <c r="J40" i="6"/>
  <c r="B31" i="6"/>
  <c r="G65" i="6"/>
  <c r="B6" i="6"/>
  <c r="F79" i="6"/>
  <c r="F85" i="6" s="1"/>
  <c r="I56" i="6"/>
  <c r="D48" i="6"/>
  <c r="E55" i="6"/>
  <c r="F57" i="6"/>
  <c r="H48" i="6"/>
  <c r="H82" i="6" s="1"/>
  <c r="C48" i="6"/>
  <c r="C56" i="6" s="1"/>
  <c r="E62" i="6"/>
  <c r="C29" i="6"/>
  <c r="D65" i="6"/>
  <c r="E23" i="6"/>
  <c r="G23" i="6" s="1"/>
  <c r="H65" i="6"/>
  <c r="H57" i="6"/>
  <c r="G57" i="6"/>
  <c r="F24" i="6"/>
  <c r="G24" i="6"/>
  <c r="B88" i="6"/>
  <c r="F81" i="6"/>
  <c r="I80" i="6"/>
  <c r="I86" i="6" s="1"/>
  <c r="F65" i="6"/>
  <c r="B65" i="6"/>
  <c r="B63" i="6"/>
  <c r="E28" i="6"/>
  <c r="D24" i="6"/>
  <c r="D29" i="6" s="1"/>
  <c r="E27" i="6"/>
  <c r="G82" i="6" l="1"/>
  <c r="G88" i="6" s="1"/>
  <c r="J48" i="6"/>
  <c r="B34" i="2"/>
  <c r="D31" i="2"/>
  <c r="D34" i="2" s="1"/>
  <c r="F31" i="2"/>
  <c r="F34" i="2" s="1"/>
  <c r="I31" i="2"/>
  <c r="D64" i="6"/>
  <c r="D56" i="6"/>
  <c r="E48" i="6"/>
  <c r="E56" i="6" s="1"/>
  <c r="E79" i="6"/>
  <c r="E85" i="6" s="1"/>
  <c r="E81" i="6"/>
  <c r="E87" i="6" s="1"/>
  <c r="B83" i="6"/>
  <c r="B89" i="6" s="1"/>
  <c r="E29" i="6"/>
  <c r="F29" i="6" s="1"/>
  <c r="B64" i="6"/>
  <c r="C82" i="6"/>
  <c r="C88" i="6" s="1"/>
  <c r="K40" i="6"/>
  <c r="C85" i="6"/>
  <c r="D4" i="6"/>
  <c r="E80" i="6"/>
  <c r="E86" i="6" s="1"/>
  <c r="J57" i="6"/>
  <c r="D82" i="6"/>
  <c r="D83" i="6" s="1"/>
  <c r="D89" i="6" s="1"/>
  <c r="J65" i="6"/>
  <c r="G83" i="6"/>
  <c r="G89" i="6" s="1"/>
  <c r="C31" i="6"/>
  <c r="G64" i="6"/>
  <c r="J63" i="6"/>
  <c r="G56" i="6"/>
  <c r="F82" i="6"/>
  <c r="F83" i="6" s="1"/>
  <c r="F64" i="6"/>
  <c r="I64" i="6"/>
  <c r="E54" i="6"/>
  <c r="E63" i="6"/>
  <c r="J54" i="6"/>
  <c r="D31" i="6"/>
  <c r="H64" i="6"/>
  <c r="J55" i="6"/>
  <c r="I82" i="6"/>
  <c r="I88" i="6" s="1"/>
  <c r="C64" i="6"/>
  <c r="H56" i="6"/>
  <c r="J79" i="6"/>
  <c r="K45" i="6"/>
  <c r="J53" i="6"/>
  <c r="F23" i="6"/>
  <c r="E53" i="6"/>
  <c r="J61" i="6"/>
  <c r="J81" i="6"/>
  <c r="F87" i="6"/>
  <c r="F27" i="6"/>
  <c r="G27" i="6"/>
  <c r="J80" i="6"/>
  <c r="H88" i="6"/>
  <c r="H83" i="6"/>
  <c r="H89" i="6" s="1"/>
  <c r="K48" i="6" l="1"/>
  <c r="M31" i="2"/>
  <c r="K31" i="2"/>
  <c r="C83" i="6"/>
  <c r="C89" i="6" s="1"/>
  <c r="K56" i="6"/>
  <c r="B9" i="6"/>
  <c r="K54" i="6"/>
  <c r="K62" i="6"/>
  <c r="K63" i="6"/>
  <c r="K55" i="6"/>
  <c r="E31" i="6"/>
  <c r="F31" i="6" s="1"/>
  <c r="E82" i="6"/>
  <c r="E88" i="6" s="1"/>
  <c r="D88" i="6"/>
  <c r="C6" i="6"/>
  <c r="E4" i="6"/>
  <c r="E64" i="6"/>
  <c r="F88" i="6"/>
  <c r="E49" i="6"/>
  <c r="K49" i="6" s="1"/>
  <c r="G29" i="6"/>
  <c r="J82" i="6"/>
  <c r="J88" i="6" s="1"/>
  <c r="I83" i="6"/>
  <c r="I89" i="6" s="1"/>
  <c r="J64" i="6"/>
  <c r="J56" i="6"/>
  <c r="K53" i="6"/>
  <c r="K61" i="6"/>
  <c r="K79" i="6"/>
  <c r="L79" i="6" s="1"/>
  <c r="J85" i="6"/>
  <c r="K85" i="6" s="1"/>
  <c r="K81" i="6"/>
  <c r="L81" i="6" s="1"/>
  <c r="J87" i="6"/>
  <c r="K87" i="6" s="1"/>
  <c r="F89" i="6"/>
  <c r="K80" i="6"/>
  <c r="L80" i="6" s="1"/>
  <c r="J86" i="6"/>
  <c r="K86" i="6" s="1"/>
  <c r="C7" i="6" l="1"/>
  <c r="I32" i="2" s="1"/>
  <c r="K57" i="6"/>
  <c r="D6" i="6"/>
  <c r="B12" i="6"/>
  <c r="G31" i="6"/>
  <c r="E65" i="6"/>
  <c r="J83" i="6"/>
  <c r="J89" i="6" s="1"/>
  <c r="K64" i="6"/>
  <c r="E83" i="6"/>
  <c r="E89" i="6" s="1"/>
  <c r="E57" i="6"/>
  <c r="E6" i="6"/>
  <c r="K88" i="6"/>
  <c r="K82" i="6"/>
  <c r="L82" i="6" s="1"/>
  <c r="D35" i="2" l="1"/>
  <c r="F35" i="2"/>
  <c r="F37" i="2" s="1"/>
  <c r="B37" i="2"/>
  <c r="C9" i="6"/>
  <c r="C12" i="6" s="1"/>
  <c r="C19" i="6" s="1"/>
  <c r="K89" i="6"/>
  <c r="K83" i="6"/>
  <c r="K92" i="6" s="1"/>
  <c r="L92" i="6" s="1"/>
  <c r="K65" i="6"/>
  <c r="M32" i="2" l="1"/>
  <c r="M33" i="2" s="1"/>
  <c r="I33" i="2"/>
  <c r="I37" i="2" s="1"/>
  <c r="K32" i="2"/>
  <c r="K33" i="2" s="1"/>
  <c r="B40" i="2"/>
  <c r="D37" i="2"/>
  <c r="E7" i="6"/>
  <c r="D7" i="6"/>
  <c r="B46" i="2" l="1"/>
  <c r="D40" i="2"/>
  <c r="F40" i="2"/>
  <c r="K37" i="2"/>
  <c r="M37" i="2"/>
  <c r="D9" i="6"/>
  <c r="P40" i="2" l="1"/>
  <c r="D46" i="2"/>
  <c r="D49" i="2" s="1"/>
  <c r="B49" i="2"/>
  <c r="F49" i="2" s="1"/>
  <c r="F46" i="2"/>
  <c r="P59" i="2"/>
  <c r="I44" i="2"/>
  <c r="K44" i="2" l="1"/>
  <c r="I46" i="2"/>
  <c r="M44" i="2"/>
  <c r="R59" i="2"/>
  <c r="R61" i="2" s="1"/>
  <c r="T59" i="2"/>
  <c r="T61" i="2" s="1"/>
  <c r="P61" i="2"/>
  <c r="P63" i="2" s="1"/>
  <c r="P43" i="2"/>
  <c r="P44" i="2" s="1"/>
  <c r="R40" i="2"/>
  <c r="R43" i="2" s="1"/>
  <c r="T40" i="2"/>
  <c r="T43" i="2" s="1"/>
  <c r="I52" i="2" l="1"/>
  <c r="K46" i="2"/>
  <c r="M46" i="2"/>
  <c r="M52" i="2" l="1"/>
  <c r="K52" i="2"/>
  <c r="I53" i="2"/>
  <c r="J29" i="24" l="1"/>
  <c r="H29" i="24" l="1"/>
  <c r="C43" i="5"/>
  <c r="J30" i="24"/>
  <c r="J49" i="24" s="1"/>
  <c r="J53" i="24" s="1"/>
  <c r="L29" i="24" l="1"/>
  <c r="L30" i="24" s="1"/>
  <c r="L49" i="24" s="1"/>
  <c r="L53" i="24" s="1"/>
  <c r="H30" i="24"/>
  <c r="H49" i="24" s="1"/>
  <c r="H53" i="24" s="1"/>
  <c r="C7" i="5"/>
  <c r="D43" i="5"/>
  <c r="C44" i="5"/>
  <c r="D44" i="5" s="1"/>
  <c r="E43" i="5"/>
  <c r="C8" i="5" l="1"/>
  <c r="D7" i="5"/>
  <c r="E7" i="5"/>
  <c r="D8" i="5" l="1"/>
  <c r="E8" i="5"/>
</calcChain>
</file>

<file path=xl/sharedStrings.xml><?xml version="1.0" encoding="utf-8"?>
<sst xmlns="http://schemas.openxmlformats.org/spreadsheetml/2006/main" count="1242" uniqueCount="523">
  <si>
    <t>LWVCEF UNRESTRICTED</t>
  </si>
  <si>
    <t>LWVCEF RESTRICTED</t>
  </si>
  <si>
    <t>COMBINED LWVCEF</t>
  </si>
  <si>
    <t>Year End Projection</t>
  </si>
  <si>
    <t>Diff Actuals vs Projection</t>
  </si>
  <si>
    <t>Current Budget</t>
  </si>
  <si>
    <t>Difference Actuals vs Budget</t>
  </si>
  <si>
    <t>Operational Income</t>
  </si>
  <si>
    <t xml:space="preserve">Income </t>
  </si>
  <si>
    <t>Total Income</t>
  </si>
  <si>
    <t xml:space="preserve">Expense </t>
  </si>
  <si>
    <t>LWVC Contribution</t>
  </si>
  <si>
    <t>Transfer Out</t>
  </si>
  <si>
    <t>Transfer In</t>
  </si>
  <si>
    <t>Transfers In/Out</t>
  </si>
  <si>
    <t>Net Income/(Expense)</t>
  </si>
  <si>
    <t>Net Assets Beg Balance</t>
  </si>
  <si>
    <t>Net Assets Proj Ending Balance</t>
  </si>
  <si>
    <t>Ending Balance Components</t>
  </si>
  <si>
    <t>RESTRICTED:  SVCF</t>
  </si>
  <si>
    <t>Strategic Initiative Fund</t>
  </si>
  <si>
    <t>RESTRICTED : Voters Edge</t>
  </si>
  <si>
    <t>Strategic Initiative</t>
  </si>
  <si>
    <t>Undesignated Reserve</t>
  </si>
  <si>
    <t>RESTRICTED: Redistricting</t>
  </si>
  <si>
    <t>Board Operational Reserve</t>
  </si>
  <si>
    <t>RESTRICTED: Easy Voter (PLP)</t>
  </si>
  <si>
    <t>Total Unrestricted Reserve</t>
  </si>
  <si>
    <t>Total Temporarily Restricted</t>
  </si>
  <si>
    <t>Total UNRESTRICTED Reserve</t>
  </si>
  <si>
    <t>Total  Reserve</t>
  </si>
  <si>
    <t>assume rounding</t>
  </si>
  <si>
    <t>LWVC</t>
  </si>
  <si>
    <t>COMBINED LWVCEF - LWVC</t>
  </si>
  <si>
    <t>Unrestricted LWVC</t>
  </si>
  <si>
    <t>Includes $6830 of Schools and Community First Income - Expenses are greater than income</t>
  </si>
  <si>
    <t>Restricted Income</t>
  </si>
  <si>
    <t>Contribution to LWVCEF</t>
  </si>
  <si>
    <t>Trudy Schafer Fellowship</t>
  </si>
  <si>
    <t>Redistricting</t>
  </si>
  <si>
    <t>Schools/Communities First</t>
  </si>
  <si>
    <t>Unrestricted LWVC/LWVCEF</t>
  </si>
  <si>
    <t>Diff Projection Vs Budget</t>
  </si>
  <si>
    <t>Difference YTD Actuals vs Budget</t>
  </si>
  <si>
    <t>RESTRICTED: SCVF</t>
  </si>
  <si>
    <t>Total Reserve</t>
  </si>
  <si>
    <t>Transfers Out</t>
  </si>
  <si>
    <t>LWVCEF 2018/19 Budget Beg Balances versus Actual Beg Balances Sources</t>
  </si>
  <si>
    <t>Planned</t>
  </si>
  <si>
    <t>Actual</t>
  </si>
  <si>
    <t>Difference</t>
  </si>
  <si>
    <t>Total Unrestricted/Restricted</t>
  </si>
  <si>
    <t>19/20 including spending $11,204 for staff expenses</t>
  </si>
  <si>
    <t>New grant - received in 2018/19 - costs will be in-kind. This will end up helping the Unrestricted EF. Funds released in November 2019</t>
  </si>
  <si>
    <t>New LWVUS redistricting toolkit grant</t>
  </si>
  <si>
    <t>Presented at November Finance Committee Meeting</t>
  </si>
  <si>
    <t>Budget</t>
  </si>
  <si>
    <t>2018/19 Ending Balance</t>
  </si>
  <si>
    <t>Schools and Communities</t>
  </si>
  <si>
    <t>minus to 19/20 unrestricted budget</t>
  </si>
  <si>
    <t>LWVCEF</t>
  </si>
  <si>
    <t>Voters Edge</t>
  </si>
  <si>
    <t>offset to the plus side</t>
  </si>
  <si>
    <t>SCVF</t>
  </si>
  <si>
    <t>increase staff time to spend--help unrestricted</t>
  </si>
  <si>
    <t>plus for unrestricted</t>
  </si>
  <si>
    <t>Strategic</t>
  </si>
  <si>
    <t>Undesignated</t>
  </si>
  <si>
    <t>2B and 2C</t>
  </si>
  <si>
    <t>.</t>
  </si>
  <si>
    <t>Actuals</t>
  </si>
  <si>
    <t xml:space="preserve">Difference </t>
  </si>
  <si>
    <t>Actuals % of Budget</t>
  </si>
  <si>
    <t>Total Expense</t>
  </si>
  <si>
    <t>Contribution LWVCEF</t>
  </si>
  <si>
    <t>2019/20 Beginning Balance</t>
  </si>
  <si>
    <t>2019/20 Ending Balance</t>
  </si>
  <si>
    <t xml:space="preserve">Board Operational Reserve </t>
  </si>
  <si>
    <t>we need to fix the financials to be $115,000</t>
  </si>
  <si>
    <t>Designated Reserve</t>
  </si>
  <si>
    <t xml:space="preserve">    Undesignated Reserve</t>
  </si>
  <si>
    <t>Revenue Budget, Actuals</t>
  </si>
  <si>
    <t>Difference Budget vs Projection</t>
  </si>
  <si>
    <t>Proj % of Budget</t>
  </si>
  <si>
    <t>Membership</t>
  </si>
  <si>
    <t>Contributions</t>
  </si>
  <si>
    <t>Grant Income</t>
  </si>
  <si>
    <t>Restricted ( Trudy Schafer))</t>
  </si>
  <si>
    <t>Earned Revenues</t>
  </si>
  <si>
    <t>Miscellaneous</t>
  </si>
  <si>
    <t>Total Operating Revenue</t>
  </si>
  <si>
    <t>Total Revenues</t>
  </si>
  <si>
    <t>LWVC 2019-20 Functional Report</t>
  </si>
  <si>
    <t>Expense Budget</t>
  </si>
  <si>
    <t>Supporting Activities</t>
  </si>
  <si>
    <t>Program Activities</t>
  </si>
  <si>
    <t>Board</t>
  </si>
  <si>
    <t>Management</t>
  </si>
  <si>
    <t>Development</t>
  </si>
  <si>
    <t>Supporting Subtotal</t>
  </si>
  <si>
    <t>Member Services</t>
  </si>
  <si>
    <t>Convention</t>
  </si>
  <si>
    <t>LEW/MyLO</t>
  </si>
  <si>
    <t>Advocacy</t>
  </si>
  <si>
    <t>Program Subtotal</t>
  </si>
  <si>
    <t>Total Expenses</t>
  </si>
  <si>
    <t>Salaries and Benefits</t>
  </si>
  <si>
    <t>Travel</t>
  </si>
  <si>
    <t>Services and Professional Fees</t>
  </si>
  <si>
    <t>Office and Occupancy</t>
  </si>
  <si>
    <t>Total Budget Expenses</t>
  </si>
  <si>
    <t>Total Actual Expenses</t>
  </si>
  <si>
    <t>Fundraising</t>
  </si>
  <si>
    <t>August Year End Projection</t>
  </si>
  <si>
    <t>LEW</t>
  </si>
  <si>
    <t>Total Projected Expenses</t>
  </si>
  <si>
    <t>Difference Budget/Projection</t>
  </si>
  <si>
    <t>Total Difference</t>
  </si>
  <si>
    <t>Expense Projection assumptions</t>
  </si>
  <si>
    <t>Most expenses are projected to be 11/12 (92%) spent for the year. Exceptions are noted</t>
  </si>
  <si>
    <t>Insurance savings is $13,000 which also reduces revenue</t>
  </si>
  <si>
    <t>Convention expenses as shown in prepaid expense</t>
  </si>
  <si>
    <t>Office and Occupancy added $5000 expense to cost out Amazon servers</t>
  </si>
  <si>
    <t>LWVUS Council Travel Estimate</t>
  </si>
  <si>
    <t>1000.1 Board</t>
  </si>
  <si>
    <t>1000.2 Management</t>
  </si>
  <si>
    <t>1000 Management - Other</t>
  </si>
  <si>
    <t>3001.1 MTA</t>
  </si>
  <si>
    <t>3001.2 DEI</t>
  </si>
  <si>
    <t>3001 Member Services - Other</t>
  </si>
  <si>
    <t>Total 3001 Member Services</t>
  </si>
  <si>
    <t>3004 Conventions</t>
  </si>
  <si>
    <t>Total 3005 Local Leagues</t>
  </si>
  <si>
    <t>3006.1 LEW</t>
  </si>
  <si>
    <t>3006.2 MyLO</t>
  </si>
  <si>
    <t>3006 LEW* - Other</t>
  </si>
  <si>
    <t>Total 3006 LEW*</t>
  </si>
  <si>
    <t>3010 Schools &amp; Communities 1st</t>
  </si>
  <si>
    <t>3011 Schafer Fellowship</t>
  </si>
  <si>
    <t>3007 Advocacy - Other</t>
  </si>
  <si>
    <t>Total 3007 Advocacy</t>
  </si>
  <si>
    <t>3090 Education Fund</t>
  </si>
  <si>
    <t>9001 APP</t>
  </si>
  <si>
    <t>9002 IPP</t>
  </si>
  <si>
    <t>9003 OCC</t>
  </si>
  <si>
    <t>(1000 Management)</t>
  </si>
  <si>
    <t>Total 1000 Management</t>
  </si>
  <si>
    <t>Total 2000 Development</t>
  </si>
  <si>
    <t>(3001 Member Services)</t>
  </si>
  <si>
    <t>(3000 Programs)</t>
  </si>
  <si>
    <t>(3006 LEW*)</t>
  </si>
  <si>
    <t>(3007 Advocacy)</t>
  </si>
  <si>
    <t>Total 3000 Programs</t>
  </si>
  <si>
    <t>(9000 To Be Split)</t>
  </si>
  <si>
    <t>Total 9000 To Be Split</t>
  </si>
  <si>
    <t>Total unclassified</t>
  </si>
  <si>
    <t>TOTAL</t>
  </si>
  <si>
    <t>Ordinary Income/Expense</t>
  </si>
  <si>
    <t>Income</t>
  </si>
  <si>
    <t>40010 · Membership Dues</t>
  </si>
  <si>
    <t>40015 · Contributions</t>
  </si>
  <si>
    <t>40100 · Earned Revenues</t>
  </si>
  <si>
    <t>40160 · Rental Income</t>
  </si>
  <si>
    <t>40170 · Interest</t>
  </si>
  <si>
    <t>Cost of Goods Sold</t>
  </si>
  <si>
    <t>50000 · Cost of Goods Sold</t>
  </si>
  <si>
    <t>Total COGS</t>
  </si>
  <si>
    <t>Gross Profit</t>
  </si>
  <si>
    <t>Expense</t>
  </si>
  <si>
    <t>60010 · Personnel</t>
  </si>
  <si>
    <t>60020 · Accounting Fees</t>
  </si>
  <si>
    <t>60021 · Bank Charges/Fees</t>
  </si>
  <si>
    <t>60030 · Legal Fees</t>
  </si>
  <si>
    <t>60040 · Supplies</t>
  </si>
  <si>
    <t>60050 · Telecommunications</t>
  </si>
  <si>
    <t>60060 · Postage/Shipping</t>
  </si>
  <si>
    <t>60070 · Occupancy</t>
  </si>
  <si>
    <t>60080 · Equipment rental &amp; maintenance</t>
  </si>
  <si>
    <t>60090 · Printing and publications</t>
  </si>
  <si>
    <t>60100 · Travel/Food/Lodging</t>
  </si>
  <si>
    <t>60110 · Promotion</t>
  </si>
  <si>
    <t>60140 · Insurance</t>
  </si>
  <si>
    <t>60150 · LWVUS MAL Dues</t>
  </si>
  <si>
    <t>60160 · Fees, subscriptions</t>
  </si>
  <si>
    <t>60170 · Independent Contractors</t>
  </si>
  <si>
    <t>60171 · In-Kind Services</t>
  </si>
  <si>
    <t>Net Ordinary Income</t>
  </si>
  <si>
    <t>Net Income</t>
  </si>
  <si>
    <t>Jun 19</t>
  </si>
  <si>
    <t>Jul 19</t>
  </si>
  <si>
    <t>Aug 19</t>
  </si>
  <si>
    <t>Sep 19</t>
  </si>
  <si>
    <t>Oct 19</t>
  </si>
  <si>
    <t>Nov 19</t>
  </si>
  <si>
    <t>Dec 19</t>
  </si>
  <si>
    <t>Jan 20</t>
  </si>
  <si>
    <t>Feb 20</t>
  </si>
  <si>
    <t>Mar 20</t>
  </si>
  <si>
    <t>40010.1 · PMP dues</t>
  </si>
  <si>
    <t>40010.2 · Payments in lieu of PMPs</t>
  </si>
  <si>
    <t>40010.3 · MAL Dues</t>
  </si>
  <si>
    <t>40010 · Membership Dues - Other</t>
  </si>
  <si>
    <t>Total 40010 · Membership Dues</t>
  </si>
  <si>
    <t>40030 · Contributions - Unrestricted</t>
  </si>
  <si>
    <t>40031 · Contributions - Restricted</t>
  </si>
  <si>
    <t>40035 · In Kind Contributions</t>
  </si>
  <si>
    <t>40070 · Grant Income - Unrestricted</t>
  </si>
  <si>
    <t>40071 · Grant Income - Restricted</t>
  </si>
  <si>
    <t>40085 · Building Reserves</t>
  </si>
  <si>
    <t>Total 40015 · Contributions</t>
  </si>
  <si>
    <t>40101 · Publications</t>
  </si>
  <si>
    <t>40110 · Merchandise</t>
  </si>
  <si>
    <t>40115 · Shipping Postage</t>
  </si>
  <si>
    <t>40120 · Liability Insurance</t>
  </si>
  <si>
    <t>40130 · Workshops</t>
  </si>
  <si>
    <t>40140 · Council/Convention</t>
  </si>
  <si>
    <t>40150 · Contract Services</t>
  </si>
  <si>
    <t>40150.2 · LEW Contracts</t>
  </si>
  <si>
    <t>40150.4 · MyLO Contracts</t>
  </si>
  <si>
    <t>40150.5 · MyLO Migration</t>
  </si>
  <si>
    <t>Total 40150 · Contract Services</t>
  </si>
  <si>
    <t>Total 40100 · Earned Revenues</t>
  </si>
  <si>
    <t>60120 · Councils/Conventions</t>
  </si>
  <si>
    <t>Other Income/Expense</t>
  </si>
  <si>
    <t>Other Expense</t>
  </si>
  <si>
    <t>7500 · Transfer to Education Fund</t>
  </si>
  <si>
    <t>Total Other Expense</t>
  </si>
  <si>
    <t>Net Other Income</t>
  </si>
  <si>
    <t>Jun 30, 19</t>
  </si>
  <si>
    <t>Jul 31, 19</t>
  </si>
  <si>
    <t>Aug 31, 19</t>
  </si>
  <si>
    <t>Sep 30, 19</t>
  </si>
  <si>
    <t>Oct 31, 19</t>
  </si>
  <si>
    <t>Nov 30, 19</t>
  </si>
  <si>
    <t>Dec 31, 19</t>
  </si>
  <si>
    <t>Jan 31, 20</t>
  </si>
  <si>
    <t>Feb 29, 20</t>
  </si>
  <si>
    <t>Mar 31, 20</t>
  </si>
  <si>
    <t>ASSETS</t>
  </si>
  <si>
    <t>Current Assets</t>
  </si>
  <si>
    <t>Checking/Savings</t>
  </si>
  <si>
    <t>1000 · Cash</t>
  </si>
  <si>
    <t>1005 · WFB Checking (GF)</t>
  </si>
  <si>
    <t>1015 · WF Brokerage Account</t>
  </si>
  <si>
    <t>1016 · Live Oak Bank</t>
  </si>
  <si>
    <t>1016.1 · Live Oak CD (2389)</t>
  </si>
  <si>
    <t>1016.2 · Live Oak CD (2494)</t>
  </si>
  <si>
    <t>1016 · Live Oak Bank - Other</t>
  </si>
  <si>
    <t>Total 1016 · Live Oak Bank</t>
  </si>
  <si>
    <t>Total 1000 · Cash</t>
  </si>
  <si>
    <t>Total Checking/Savings</t>
  </si>
  <si>
    <t>Accounts Receivable</t>
  </si>
  <si>
    <t>1200 · Accounts Receivable</t>
  </si>
  <si>
    <t>Total Accounts Receivable</t>
  </si>
  <si>
    <t>Other Current Assets</t>
  </si>
  <si>
    <t>1120 · Inventory Asset</t>
  </si>
  <si>
    <t>1211 · Other Receivable</t>
  </si>
  <si>
    <t>13700 · Payroll Service Customer Asset</t>
  </si>
  <si>
    <t>1499 · Undeposited Funds</t>
  </si>
  <si>
    <t>1500 · Other Receivable - C3</t>
  </si>
  <si>
    <t>1500.1 · Other Receivable - C3  Payroll</t>
  </si>
  <si>
    <t>1500 · Other Receivable - C3 - Other</t>
  </si>
  <si>
    <t>Total 1500 · Other Receivable - C3</t>
  </si>
  <si>
    <t>1515 · Prepaid Insurance</t>
  </si>
  <si>
    <t>1520 · Prepaid Expenses - Other</t>
  </si>
  <si>
    <t>Total Other Current Assets</t>
  </si>
  <si>
    <t>Total Current Assets</t>
  </si>
  <si>
    <t>Fixed Assets</t>
  </si>
  <si>
    <t>1409 · Furniture &amp; Fixtures</t>
  </si>
  <si>
    <t>1410 · Equipment &amp; Software</t>
  </si>
  <si>
    <t>1490 · Accumulated depreciation</t>
  </si>
  <si>
    <t>Total Fixed Assets</t>
  </si>
  <si>
    <t>Other Assets</t>
  </si>
  <si>
    <t>1800 · Office Deposit</t>
  </si>
  <si>
    <t>Total Other Assets</t>
  </si>
  <si>
    <t>TOTAL ASSETS</t>
  </si>
  <si>
    <t>LIABILITIES &amp; EQUITY</t>
  </si>
  <si>
    <t>Liabilities</t>
  </si>
  <si>
    <t>Current Liabilities</t>
  </si>
  <si>
    <t>Accounts Payable</t>
  </si>
  <si>
    <t>2000 · Accounts Payable</t>
  </si>
  <si>
    <t>Total Accounts Payable</t>
  </si>
  <si>
    <t>Credit Cards</t>
  </si>
  <si>
    <t>2001 · Credit Cards</t>
  </si>
  <si>
    <t>2007 · Wells Fargo</t>
  </si>
  <si>
    <t>2007.1 · Wells Fargo Carol Goldberg-0508</t>
  </si>
  <si>
    <t>2007.2 · Wells FargoStephanie Doute-7826</t>
  </si>
  <si>
    <t>2007.8 · Wells Fargo - Sharon Stone-1978</t>
  </si>
  <si>
    <t>2007.9 · Wells Fargo H Hutchison-4833</t>
  </si>
  <si>
    <t>Total 2007 · Wells Fargo</t>
  </si>
  <si>
    <t>Total 2001 · Credit Cards</t>
  </si>
  <si>
    <t>Total Credit Cards</t>
  </si>
  <si>
    <t>Other Current Liabilities</t>
  </si>
  <si>
    <t>2015 · Due to MAL/MAS</t>
  </si>
  <si>
    <t>2015.1 · Mother Lode MAS</t>
  </si>
  <si>
    <t>2015.2 · Santa Clarita MAS Unit</t>
  </si>
  <si>
    <t>2015.3 · Davis MAS</t>
  </si>
  <si>
    <t>2015 · Due to MAL/MAS - Other</t>
  </si>
  <si>
    <t>Total 2015 · Due to MAL/MAS</t>
  </si>
  <si>
    <t>2100 · Payroll Liabilities</t>
  </si>
  <si>
    <t>2100.1 · Garnishment</t>
  </si>
  <si>
    <t>2100 · Payroll Liabilities - Other</t>
  </si>
  <si>
    <t>Total 2100 · Payroll Liabilities</t>
  </si>
  <si>
    <t>2105 · Pension Liability</t>
  </si>
  <si>
    <t>2150 · Healthcare Withheld</t>
  </si>
  <si>
    <t>2200 · Sales Tax Payable</t>
  </si>
  <si>
    <t>2300 · Accrued Liabilities</t>
  </si>
  <si>
    <t>Total Other Current Liabilities</t>
  </si>
  <si>
    <t>Total Current Liabilities</t>
  </si>
  <si>
    <t>Long Term Liabilities</t>
  </si>
  <si>
    <t>2501 · Deferred Rent</t>
  </si>
  <si>
    <t>Total Long Term Liabilities</t>
  </si>
  <si>
    <t>Total Liabilities</t>
  </si>
  <si>
    <t>Equity</t>
  </si>
  <si>
    <t>3700 · Unrestricted Net  Assets</t>
  </si>
  <si>
    <t>3700.1 · Board Designated Net Assets</t>
  </si>
  <si>
    <t>3701 · Building Reserves</t>
  </si>
  <si>
    <t>3702 · Operational Reserves</t>
  </si>
  <si>
    <t>3703 · Trudy Schafer Fellowship</t>
  </si>
  <si>
    <t>Total 3700.1 · Board Designated Net Assets</t>
  </si>
  <si>
    <t>Total Equity</t>
  </si>
  <si>
    <t>TOTAL LIABILITIES &amp; EQUITY</t>
  </si>
  <si>
    <t>K AND L</t>
  </si>
  <si>
    <t>Unrestricted</t>
  </si>
  <si>
    <t>Actual % of Budget</t>
  </si>
  <si>
    <t>Total Expense Unrestricted</t>
  </si>
  <si>
    <t>2019/20 Unrestr Beg Balance</t>
  </si>
  <si>
    <t>2019/20  Unrestr Ending Balance</t>
  </si>
  <si>
    <t>Unrestricted Ending Balance Components</t>
  </si>
  <si>
    <t>Designated</t>
  </si>
  <si>
    <t>Unrestricted Total</t>
  </si>
  <si>
    <t>Revenue</t>
  </si>
  <si>
    <t>Ind. Unrestr Contribution</t>
  </si>
  <si>
    <t>Other Contributions</t>
  </si>
  <si>
    <t>Voter Edge Earned</t>
  </si>
  <si>
    <t>Other Earned Revenue</t>
  </si>
  <si>
    <t>Subtotal Unrestricted</t>
  </si>
  <si>
    <t xml:space="preserve">Local League  Restr </t>
  </si>
  <si>
    <t>Ind. Restr Contribution</t>
  </si>
  <si>
    <t>Grants</t>
  </si>
  <si>
    <t>Subtotal Restricted</t>
  </si>
  <si>
    <t>Total</t>
  </si>
  <si>
    <t xml:space="preserve"> </t>
  </si>
  <si>
    <t>Restricted</t>
  </si>
  <si>
    <t>Income Restricted</t>
  </si>
  <si>
    <t>Transfers In</t>
  </si>
  <si>
    <t>Expense Restricted</t>
  </si>
  <si>
    <t>2019/20 Restr Beg Balance</t>
  </si>
  <si>
    <t>Budgeted Ending Balance</t>
  </si>
  <si>
    <t>SVCF</t>
  </si>
  <si>
    <t>Easy Voter</t>
  </si>
  <si>
    <t>Temporary Restricted</t>
  </si>
  <si>
    <t>LWVCEF  Combined</t>
  </si>
  <si>
    <t>2019/20 Beg Balance</t>
  </si>
  <si>
    <t>Components of Ending Balance</t>
  </si>
  <si>
    <t>Operating Reserve</t>
  </si>
  <si>
    <t>Board Designated</t>
  </si>
  <si>
    <t>Community Education</t>
  </si>
  <si>
    <t>Voters Education</t>
  </si>
  <si>
    <t>EVG</t>
  </si>
  <si>
    <t>+</t>
  </si>
  <si>
    <t>Total Budget Differences</t>
  </si>
  <si>
    <t>na</t>
  </si>
  <si>
    <t xml:space="preserve">Total % </t>
  </si>
  <si>
    <t>League of Women Voters of California Education Fund</t>
  </si>
  <si>
    <t>Profit &amp; Loss by Class</t>
  </si>
  <si>
    <t>Accrual Basis</t>
  </si>
  <si>
    <t>3001.05 Comm. Ed - Irvine 17-19</t>
  </si>
  <si>
    <t>3001.3 Guide to Government</t>
  </si>
  <si>
    <t>3001.7 Redistricting</t>
  </si>
  <si>
    <t>3001.8 CIVFR</t>
  </si>
  <si>
    <t>3001 Community Education - Other</t>
  </si>
  <si>
    <t>Total 3001 Community Education</t>
  </si>
  <si>
    <t>3012.5 PLP - EVG 17-18</t>
  </si>
  <si>
    <t>3012.7 PLP - EVG 19-20</t>
  </si>
  <si>
    <t>Total 3012 PLP</t>
  </si>
  <si>
    <t>3013 VCA</t>
  </si>
  <si>
    <t>3010 Voter Service - Other</t>
  </si>
  <si>
    <t>Total 3010 Voter Service</t>
  </si>
  <si>
    <t>3030.2 VEC - Irvine Grant 17-19</t>
  </si>
  <si>
    <t>3030 Voters Edge - Other</t>
  </si>
  <si>
    <t>Total 3030 Voters Edge</t>
  </si>
  <si>
    <t>Restricted Voters Edge, CIVFR, Redistricting</t>
  </si>
  <si>
    <t>2000 Development</t>
  </si>
  <si>
    <t>(3001 Community Education)</t>
  </si>
  <si>
    <t>(3012 PLP)</t>
  </si>
  <si>
    <t>(3010 Voter Service)</t>
  </si>
  <si>
    <t>(3030 Voters Edge)</t>
  </si>
  <si>
    <t>Unclassified</t>
  </si>
  <si>
    <t xml:space="preserve">Total </t>
  </si>
  <si>
    <t>40010 · Local League Support-Unrestrict</t>
  </si>
  <si>
    <t>40010.2 · Payments in lieu of PMP</t>
  </si>
  <si>
    <t>Total 40010 · Local League Support-Unrestrict</t>
  </si>
  <si>
    <t>40011 · Local League Support-Restricted</t>
  </si>
  <si>
    <t>40012 · Local League Support - Unrestri</t>
  </si>
  <si>
    <t>40030 · Indiv. Contrib. - Unrestricted</t>
  </si>
  <si>
    <t>40031 · Indiv. Contributions-Restricted</t>
  </si>
  <si>
    <t>4010 · Earned Revenue</t>
  </si>
  <si>
    <t>40100 · Publications</t>
  </si>
  <si>
    <t>40160 · Contract Services</t>
  </si>
  <si>
    <t>Total 4010 · Earned Revenue</t>
  </si>
  <si>
    <t>40165 · Rental Income</t>
  </si>
  <si>
    <t>40200 · Miscellaneous Income</t>
  </si>
  <si>
    <t>60020 · Accounting Services</t>
  </si>
  <si>
    <t>60022 · Bank Charges/Fees</t>
  </si>
  <si>
    <t>60030 · Promotion</t>
  </si>
  <si>
    <t>60090 · Printing &amp; publications</t>
  </si>
  <si>
    <t>60100 · Travel,meals, lodging</t>
  </si>
  <si>
    <t>Total 3001.05 Comm. Ed - Irvine 17-19</t>
  </si>
  <si>
    <t>Budget Unrestricted</t>
  </si>
  <si>
    <t>Budget Restricted</t>
  </si>
  <si>
    <t>Total Budget Restricted/Unrestricted</t>
  </si>
  <si>
    <t>60019 · Fiscal Mgmt., Audit, &amp; Tax Prep</t>
  </si>
  <si>
    <t>61080 · Mini- Grants disbursed</t>
  </si>
  <si>
    <t>5550 · Unrealized Gain/Loss on Stock</t>
  </si>
  <si>
    <t>40200 · Miscellaneous Income - Other</t>
  </si>
  <si>
    <t>Total 40200 · Miscellaneous Income</t>
  </si>
  <si>
    <t>Other Income</t>
  </si>
  <si>
    <t>7500 · Transfer from LWVC</t>
  </si>
  <si>
    <t>Total Other Income</t>
  </si>
  <si>
    <t>1005 · WFB Chkg, Combined Ed Fund Acct</t>
  </si>
  <si>
    <t>1005.1 · LWVC Ed Fund, WFB Chkg</t>
  </si>
  <si>
    <t>Total 1005 · WFB Chkg, Combined Ed Fund Acct</t>
  </si>
  <si>
    <t>1016.1 · Live Oak CD - 8798</t>
  </si>
  <si>
    <t>1016.2 · Live Oak CD - 2391</t>
  </si>
  <si>
    <t>1115 · WFB Money Market</t>
  </si>
  <si>
    <t>1119 · Wells Fargo Brokerage Account</t>
  </si>
  <si>
    <t>1210 · Grants Receivable</t>
  </si>
  <si>
    <t>1800 · Prepaid Expenses</t>
  </si>
  <si>
    <t>2002 · Other Current Liabilities -  C4</t>
  </si>
  <si>
    <t>2002.1 · Other Current Liab. C4-Payroll</t>
  </si>
  <si>
    <t>2002 · Other Current Liabilities -  C4 - Other</t>
  </si>
  <si>
    <t>Total 2002 · Other Current Liabilities -  C4</t>
  </si>
  <si>
    <t>2005 · Due to Local Leagues</t>
  </si>
  <si>
    <t>2009 · Benicia CA099</t>
  </si>
  <si>
    <t>2011 · Kern County CA001</t>
  </si>
  <si>
    <t>2015 · Butte County</t>
  </si>
  <si>
    <t>2017 · Central Orange County Area</t>
  </si>
  <si>
    <t>2019 · Claremont</t>
  </si>
  <si>
    <t>2020 · Cupertino, Sunnyvale</t>
  </si>
  <si>
    <t>2026 · East San Gabriel Valley</t>
  </si>
  <si>
    <t>2027 · Eden Area</t>
  </si>
  <si>
    <t>2028 · El Dorado County</t>
  </si>
  <si>
    <t>2034 · Livermore, Amador Valley</t>
  </si>
  <si>
    <t>2040 · Mendocino County</t>
  </si>
  <si>
    <t>2041 · Merced</t>
  </si>
  <si>
    <t>2042 · Stanislaus County</t>
  </si>
  <si>
    <t>2043 · Monterey County</t>
  </si>
  <si>
    <t>2045 · North Orange County</t>
  </si>
  <si>
    <t>2047 · Riverside County</t>
  </si>
  <si>
    <t>2048 · Oakland</t>
  </si>
  <si>
    <t>2048.2 · County of Alameda Contract</t>
  </si>
  <si>
    <t>2048 · Oakland - Other</t>
  </si>
  <si>
    <t>Total 2048 · Oakland</t>
  </si>
  <si>
    <t>2049 · Orange Coast</t>
  </si>
  <si>
    <t>2050 · Palo Alto</t>
  </si>
  <si>
    <t>2056 · West Contra Costa County</t>
  </si>
  <si>
    <t>2059 · San Bernardino CA045</t>
  </si>
  <si>
    <t>2060 · San Diego (city)</t>
  </si>
  <si>
    <t>2066 · Santa Cruz CA080</t>
  </si>
  <si>
    <t>2067 · Santa Maria Valley</t>
  </si>
  <si>
    <t>2068 · Santa Monica</t>
  </si>
  <si>
    <t>2071 · South San Mateo County</t>
  </si>
  <si>
    <t>2073 · Southwest Santa Clara Valley</t>
  </si>
  <si>
    <t>2077 · Western Nevada County</t>
  </si>
  <si>
    <t>2078 · Whittier</t>
  </si>
  <si>
    <t>2082 · Plumas MAL</t>
  </si>
  <si>
    <t>2085 · Orange County ILO</t>
  </si>
  <si>
    <t>2092 · Mother Lode MAS</t>
  </si>
  <si>
    <t>2093 · Davis MAS</t>
  </si>
  <si>
    <t>2005 · Due to Local Leagues - Other</t>
  </si>
  <si>
    <t>Total 2005 · Due to Local Leagues</t>
  </si>
  <si>
    <t>2201 · Sales Tax Payable</t>
  </si>
  <si>
    <t>2400 · Payroll Liabilities</t>
  </si>
  <si>
    <t>2900 · Clearing Account</t>
  </si>
  <si>
    <t>3720 · Board Designated Assets</t>
  </si>
  <si>
    <t>3721 · Strategic Initiative</t>
  </si>
  <si>
    <t>3723 · Building Reserves</t>
  </si>
  <si>
    <t>Total 3720 · Board Designated Assets</t>
  </si>
  <si>
    <t>3800 · Temp.  Restricted Net  Assets</t>
  </si>
  <si>
    <t>3800.06 · Voters Edge</t>
  </si>
  <si>
    <t>3835 · Other Easy Voter Guide Funders</t>
  </si>
  <si>
    <t>3839 · CIVFR</t>
  </si>
  <si>
    <t>3842 · James Irvine Foundation 17-19</t>
  </si>
  <si>
    <t>3842.01 · Community Education</t>
  </si>
  <si>
    <t>3842.02 · Voters Edge</t>
  </si>
  <si>
    <t>3842.03 · FoCE</t>
  </si>
  <si>
    <t>Total 3842 · James Irvine Foundation 17-19</t>
  </si>
  <si>
    <t>3844 · Redistricting</t>
  </si>
  <si>
    <t>Total 3800 · Temp.  Restricted Net  Assets</t>
  </si>
  <si>
    <t>Temporarilty Restricted</t>
  </si>
  <si>
    <t>Restriction satisfied by payments</t>
  </si>
  <si>
    <t>Total Revenue, gains, and other support</t>
  </si>
  <si>
    <t>Change in Net assets</t>
  </si>
  <si>
    <t>Release redistricting grant from restricted to unrestricted</t>
  </si>
  <si>
    <t>Net assets at beginning of year</t>
  </si>
  <si>
    <t>Net assets at end of year</t>
  </si>
  <si>
    <t>40171 · PPP Accrued Interest Expense</t>
  </si>
  <si>
    <t>Apr 30, 20</t>
  </si>
  <si>
    <t>1120 · Fresno First Bank - 9835</t>
  </si>
  <si>
    <t>2507 · PPP Interest Payable</t>
  </si>
  <si>
    <t>2508 · PPP SBA Note</t>
  </si>
  <si>
    <t>Apr 20</t>
  </si>
  <si>
    <t>4000 PPP</t>
  </si>
  <si>
    <t>2900.1 · Clearing Account</t>
  </si>
  <si>
    <t>PPP</t>
  </si>
  <si>
    <t>Jul '19 - May 20</t>
  </si>
  <si>
    <t>61300 · Bad Debt Expense</t>
  </si>
  <si>
    <t>May 20</t>
  </si>
  <si>
    <t>May 31, 20</t>
  </si>
  <si>
    <t>May 2020 Actuals</t>
  </si>
  <si>
    <t>May 2020 Budget vs Actual  Difference</t>
  </si>
  <si>
    <t xml:space="preserve">May 2020 % Spent </t>
  </si>
  <si>
    <t>LWVC May 2020 Financial Summary and Revenue Summary Report</t>
  </si>
  <si>
    <t>11:17 PM</t>
  </si>
  <si>
    <t>June 2019 through May 2020</t>
  </si>
  <si>
    <t>11:14 PM</t>
  </si>
  <si>
    <t>July 2019 through May 2020</t>
  </si>
  <si>
    <t>LWVCEF  May 2020 Financial Summary, Revenue Summary and Ending Balance Components</t>
  </si>
  <si>
    <t>LWVCEF  May 2020 Functional Reports</t>
  </si>
  <si>
    <t>May 2020 Difference</t>
  </si>
  <si>
    <t>May Actuals</t>
  </si>
  <si>
    <t>Financial Summary May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</si>
</sst>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.00;\-#,##0.00"/>
    <numFmt numFmtId="167" formatCode="0.0%"/>
    <numFmt numFmtId="168" formatCode="_(* #,##0.0_);_(* \(#,##0.0\);_(* &quot;-&quot;??_);_(@_)"/>
    <numFmt numFmtId="169" formatCode="mm/dd/yyyy"/>
    <numFmt numFmtId="172" formatCode="_(* #,##0.0000_);_(* \(#,##0.00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2"/>
      <color indexed="8"/>
      <name val="Times New Roman"/>
      <family val="2"/>
    </font>
    <font>
      <sz val="12"/>
      <color theme="1"/>
      <name val="Times New Roman"/>
      <family val="2"/>
    </font>
    <font>
      <b/>
      <sz val="14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2"/>
      <color rgb="FF000080"/>
      <name val="Arial"/>
      <family val="2"/>
    </font>
    <font>
      <b/>
      <sz val="8"/>
      <color rgb="FF000080"/>
      <name val="Arial"/>
      <family val="2"/>
    </font>
    <font>
      <b/>
      <sz val="14"/>
      <color rgb="FF000080"/>
      <name val="Arial"/>
      <family val="2"/>
    </font>
    <font>
      <b/>
      <sz val="10"/>
      <color rgb="FF000080"/>
      <name val="Arial"/>
      <family val="2"/>
    </font>
    <font>
      <b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9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622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17" fontId="7" fillId="2" borderId="0" xfId="0" applyNumberFormat="1" applyFont="1" applyFill="1"/>
    <xf numFmtId="17" fontId="2" fillId="2" borderId="0" xfId="0" applyNumberFormat="1" applyFont="1" applyFill="1"/>
    <xf numFmtId="0" fontId="0" fillId="2" borderId="0" xfId="0" applyFill="1"/>
    <xf numFmtId="0" fontId="0" fillId="2" borderId="0" xfId="0" applyFill="1" applyBorder="1"/>
    <xf numFmtId="0" fontId="7" fillId="2" borderId="0" xfId="0" applyFont="1" applyFill="1"/>
    <xf numFmtId="0" fontId="2" fillId="2" borderId="0" xfId="0" applyFont="1" applyFill="1"/>
    <xf numFmtId="0" fontId="7" fillId="2" borderId="0" xfId="0" applyFont="1" applyFill="1" applyBorder="1"/>
    <xf numFmtId="0" fontId="2" fillId="2" borderId="17" xfId="0" applyFont="1" applyFill="1" applyBorder="1"/>
    <xf numFmtId="0" fontId="2" fillId="2" borderId="18" xfId="0" applyFont="1" applyFill="1" applyBorder="1" applyAlignment="1">
      <alignment wrapText="1"/>
    </xf>
    <xf numFmtId="0" fontId="2" fillId="2" borderId="1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/>
    </xf>
    <xf numFmtId="0" fontId="0" fillId="2" borderId="20" xfId="0" applyFill="1" applyBorder="1"/>
    <xf numFmtId="164" fontId="0" fillId="2" borderId="5" xfId="2" applyNumberFormat="1" applyFont="1" applyFill="1" applyBorder="1"/>
    <xf numFmtId="9" fontId="0" fillId="2" borderId="0" xfId="3" applyFont="1" applyFill="1" applyBorder="1"/>
    <xf numFmtId="0" fontId="0" fillId="2" borderId="2" xfId="0" applyFill="1" applyBorder="1"/>
    <xf numFmtId="164" fontId="0" fillId="2" borderId="0" xfId="2" applyNumberFormat="1" applyFont="1" applyFill="1" applyBorder="1"/>
    <xf numFmtId="164" fontId="0" fillId="2" borderId="4" xfId="2" applyNumberFormat="1" applyFont="1" applyFill="1" applyBorder="1"/>
    <xf numFmtId="164" fontId="0" fillId="2" borderId="3" xfId="0" applyNumberFormat="1" applyFill="1" applyBorder="1"/>
    <xf numFmtId="164" fontId="0" fillId="2" borderId="0" xfId="0" applyNumberFormat="1" applyFill="1" applyBorder="1"/>
    <xf numFmtId="164" fontId="0" fillId="2" borderId="10" xfId="2" applyNumberFormat="1" applyFont="1" applyFill="1" applyBorder="1"/>
    <xf numFmtId="164" fontId="0" fillId="2" borderId="13" xfId="2" applyNumberFormat="1" applyFont="1" applyFill="1" applyBorder="1"/>
    <xf numFmtId="164" fontId="0" fillId="2" borderId="15" xfId="2" applyNumberFormat="1" applyFont="1" applyFill="1" applyBorder="1"/>
    <xf numFmtId="0" fontId="0" fillId="2" borderId="4" xfId="0" applyFill="1" applyBorder="1"/>
    <xf numFmtId="164" fontId="3" fillId="2" borderId="0" xfId="2" applyNumberFormat="1" applyFont="1" applyFill="1" applyBorder="1" applyAlignment="1">
      <alignment horizontal="right" vertical="center"/>
    </xf>
    <xf numFmtId="164" fontId="3" fillId="2" borderId="4" xfId="2" applyNumberFormat="1" applyFont="1" applyFill="1" applyBorder="1" applyAlignment="1">
      <alignment horizontal="right" vertical="center"/>
    </xf>
    <xf numFmtId="0" fontId="2" fillId="2" borderId="2" xfId="0" applyFont="1" applyFill="1" applyBorder="1"/>
    <xf numFmtId="165" fontId="0" fillId="2" borderId="0" xfId="1" applyNumberFormat="1" applyFont="1" applyFill="1" applyBorder="1"/>
    <xf numFmtId="164" fontId="2" fillId="2" borderId="13" xfId="0" applyNumberFormat="1" applyFont="1" applyFill="1" applyBorder="1"/>
    <xf numFmtId="164" fontId="2" fillId="2" borderId="2" xfId="2" applyNumberFormat="1" applyFont="1" applyFill="1" applyBorder="1"/>
    <xf numFmtId="0" fontId="2" fillId="2" borderId="6" xfId="0" applyFont="1" applyFill="1" applyBorder="1"/>
    <xf numFmtId="165" fontId="0" fillId="2" borderId="12" xfId="1" applyNumberFormat="1" applyFont="1" applyFill="1" applyBorder="1"/>
    <xf numFmtId="0" fontId="0" fillId="2" borderId="2" xfId="0" applyFont="1" applyFill="1" applyBorder="1"/>
    <xf numFmtId="0" fontId="2" fillId="2" borderId="0" xfId="0" applyFont="1" applyFill="1" applyBorder="1"/>
    <xf numFmtId="165" fontId="2" fillId="2" borderId="0" xfId="1" applyNumberFormat="1" applyFont="1" applyFill="1" applyBorder="1"/>
    <xf numFmtId="164" fontId="0" fillId="2" borderId="0" xfId="0" applyNumberFormat="1" applyFill="1"/>
    <xf numFmtId="0" fontId="2" fillId="2" borderId="20" xfId="0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 applyAlignment="1">
      <alignment horizontal="center" wrapText="1"/>
    </xf>
    <xf numFmtId="164" fontId="0" fillId="2" borderId="21" xfId="0" applyNumberFormat="1" applyFill="1" applyBorder="1"/>
    <xf numFmtId="164" fontId="0" fillId="2" borderId="3" xfId="2" applyNumberFormat="1" applyFont="1" applyFill="1" applyBorder="1"/>
    <xf numFmtId="164" fontId="0" fillId="2" borderId="16" xfId="0" applyNumberFormat="1" applyFill="1" applyBorder="1"/>
    <xf numFmtId="164" fontId="0" fillId="2" borderId="14" xfId="2" applyNumberFormat="1" applyFont="1" applyFill="1" applyBorder="1"/>
    <xf numFmtId="164" fontId="3" fillId="2" borderId="3" xfId="2" applyNumberFormat="1" applyFont="1" applyFill="1" applyBorder="1" applyAlignment="1">
      <alignment horizontal="right" vertical="center"/>
    </xf>
    <xf numFmtId="0" fontId="0" fillId="2" borderId="3" xfId="0" applyFill="1" applyBorder="1"/>
    <xf numFmtId="165" fontId="0" fillId="2" borderId="3" xfId="1" applyNumberFormat="1" applyFont="1" applyFill="1" applyBorder="1"/>
    <xf numFmtId="164" fontId="2" fillId="2" borderId="0" xfId="0" applyNumberFormat="1" applyFont="1" applyFill="1" applyBorder="1"/>
    <xf numFmtId="164" fontId="2" fillId="2" borderId="22" xfId="0" applyNumberFormat="1" applyFont="1" applyFill="1" applyBorder="1"/>
    <xf numFmtId="165" fontId="1" fillId="2" borderId="0" xfId="1" applyNumberFormat="1" applyFont="1" applyFill="1" applyBorder="1"/>
    <xf numFmtId="164" fontId="2" fillId="2" borderId="22" xfId="2" applyNumberFormat="1" applyFont="1" applyFill="1" applyBorder="1"/>
    <xf numFmtId="43" fontId="0" fillId="2" borderId="0" xfId="0" applyNumberFormat="1" applyFill="1"/>
    <xf numFmtId="165" fontId="0" fillId="2" borderId="0" xfId="0" applyNumberFormat="1" applyFill="1"/>
    <xf numFmtId="164" fontId="0" fillId="0" borderId="0" xfId="0" applyNumberFormat="1" applyBorder="1"/>
    <xf numFmtId="165" fontId="0" fillId="0" borderId="0" xfId="1" applyNumberFormat="1" applyFont="1" applyBorder="1"/>
    <xf numFmtId="164" fontId="0" fillId="0" borderId="0" xfId="0" applyNumberFormat="1" applyFill="1" applyBorder="1"/>
    <xf numFmtId="164" fontId="2" fillId="2" borderId="7" xfId="2" applyNumberFormat="1" applyFont="1" applyFill="1" applyBorder="1"/>
    <xf numFmtId="0" fontId="0" fillId="2" borderId="7" xfId="0" applyFill="1" applyBorder="1"/>
    <xf numFmtId="164" fontId="0" fillId="2" borderId="26" xfId="2" applyNumberFormat="1" applyFont="1" applyFill="1" applyBorder="1"/>
    <xf numFmtId="164" fontId="0" fillId="2" borderId="27" xfId="2" applyNumberFormat="1" applyFont="1" applyFill="1" applyBorder="1"/>
    <xf numFmtId="0" fontId="0" fillId="2" borderId="26" xfId="0" applyFill="1" applyBorder="1"/>
    <xf numFmtId="164" fontId="1" fillId="2" borderId="26" xfId="2" applyNumberFormat="1" applyFont="1" applyFill="1" applyBorder="1"/>
    <xf numFmtId="164" fontId="2" fillId="2" borderId="14" xfId="0" applyNumberFormat="1" applyFont="1" applyFill="1" applyBorder="1"/>
    <xf numFmtId="164" fontId="2" fillId="2" borderId="13" xfId="2" applyNumberFormat="1" applyFont="1" applyFill="1" applyBorder="1"/>
    <xf numFmtId="164" fontId="0" fillId="0" borderId="4" xfId="2" applyNumberFormat="1" applyFont="1" applyBorder="1"/>
    <xf numFmtId="164" fontId="0" fillId="0" borderId="4" xfId="2" applyNumberFormat="1" applyFont="1" applyFill="1" applyBorder="1"/>
    <xf numFmtId="164" fontId="0" fillId="0" borderId="10" xfId="2" applyNumberFormat="1" applyFont="1" applyFill="1" applyBorder="1"/>
    <xf numFmtId="0" fontId="0" fillId="0" borderId="4" xfId="0" applyBorder="1"/>
    <xf numFmtId="0" fontId="0" fillId="0" borderId="17" xfId="0" applyBorder="1"/>
    <xf numFmtId="164" fontId="0" fillId="2" borderId="11" xfId="0" applyNumberFormat="1" applyFill="1" applyBorder="1"/>
    <xf numFmtId="164" fontId="2" fillId="2" borderId="14" xfId="2" applyNumberFormat="1" applyFont="1" applyFill="1" applyBorder="1"/>
    <xf numFmtId="164" fontId="0" fillId="2" borderId="25" xfId="2" applyNumberFormat="1" applyFont="1" applyFill="1" applyBorder="1"/>
    <xf numFmtId="164" fontId="2" fillId="2" borderId="27" xfId="0" applyNumberFormat="1" applyFont="1" applyFill="1" applyBorder="1"/>
    <xf numFmtId="0" fontId="2" fillId="0" borderId="5" xfId="0" applyFont="1" applyFill="1" applyBorder="1" applyAlignment="1">
      <alignment wrapText="1"/>
    </xf>
    <xf numFmtId="164" fontId="0" fillId="0" borderId="5" xfId="0" applyNumberFormat="1" applyFill="1" applyBorder="1"/>
    <xf numFmtId="164" fontId="0" fillId="0" borderId="3" xfId="0" applyNumberFormat="1" applyFill="1" applyBorder="1"/>
    <xf numFmtId="164" fontId="0" fillId="0" borderId="14" xfId="0" applyNumberFormat="1" applyFill="1" applyBorder="1"/>
    <xf numFmtId="164" fontId="2" fillId="0" borderId="14" xfId="0" applyNumberFormat="1" applyFont="1" applyFill="1" applyBorder="1"/>
    <xf numFmtId="0" fontId="0" fillId="0" borderId="3" xfId="0" applyFill="1" applyBorder="1"/>
    <xf numFmtId="164" fontId="0" fillId="0" borderId="3" xfId="2" applyNumberFormat="1" applyFont="1" applyFill="1" applyBorder="1"/>
    <xf numFmtId="164" fontId="2" fillId="0" borderId="25" xfId="2" applyNumberFormat="1" applyFont="1" applyFill="1" applyBorder="1"/>
    <xf numFmtId="0" fontId="2" fillId="0" borderId="0" xfId="0" applyFont="1" applyFill="1" applyBorder="1"/>
    <xf numFmtId="164" fontId="2" fillId="2" borderId="2" xfId="2" applyNumberFormat="1" applyFont="1" applyFill="1" applyBorder="1" applyAlignment="1">
      <alignment horizontal="left"/>
    </xf>
    <xf numFmtId="164" fontId="0" fillId="2" borderId="31" xfId="2" applyNumberFormat="1" applyFont="1" applyFill="1" applyBorder="1"/>
    <xf numFmtId="164" fontId="0" fillId="2" borderId="2" xfId="2" applyNumberFormat="1" applyFont="1" applyFill="1" applyBorder="1"/>
    <xf numFmtId="0" fontId="0" fillId="0" borderId="2" xfId="0" applyBorder="1"/>
    <xf numFmtId="164" fontId="0" fillId="2" borderId="30" xfId="2" applyNumberFormat="1" applyFont="1" applyFill="1" applyBorder="1"/>
    <xf numFmtId="164" fontId="0" fillId="0" borderId="0" xfId="0" applyNumberFormat="1"/>
    <xf numFmtId="0" fontId="0" fillId="0" borderId="2" xfId="0" applyFill="1" applyBorder="1"/>
    <xf numFmtId="164" fontId="3" fillId="2" borderId="26" xfId="2" applyNumberFormat="1" applyFont="1" applyFill="1" applyBorder="1" applyAlignment="1">
      <alignment horizontal="right" vertical="center"/>
    </xf>
    <xf numFmtId="164" fontId="0" fillId="2" borderId="27" xfId="0" applyNumberFormat="1" applyFill="1" applyBorder="1"/>
    <xf numFmtId="165" fontId="0" fillId="2" borderId="26" xfId="1" applyNumberFormat="1" applyFont="1" applyFill="1" applyBorder="1"/>
    <xf numFmtId="164" fontId="2" fillId="2" borderId="27" xfId="2" applyNumberFormat="1" applyFont="1" applyFill="1" applyBorder="1"/>
    <xf numFmtId="165" fontId="0" fillId="2" borderId="7" xfId="0" applyNumberFormat="1" applyFill="1" applyBorder="1"/>
    <xf numFmtId="165" fontId="0" fillId="2" borderId="14" xfId="1" applyNumberFormat="1" applyFont="1" applyFill="1" applyBorder="1"/>
    <xf numFmtId="165" fontId="0" fillId="2" borderId="12" xfId="0" applyNumberFormat="1" applyFill="1" applyBorder="1"/>
    <xf numFmtId="164" fontId="0" fillId="2" borderId="22" xfId="2" applyNumberFormat="1" applyFont="1" applyFill="1" applyBorder="1"/>
    <xf numFmtId="164" fontId="0" fillId="2" borderId="16" xfId="2" applyNumberFormat="1" applyFont="1" applyFill="1" applyBorder="1"/>
    <xf numFmtId="164" fontId="0" fillId="2" borderId="5" xfId="0" applyNumberFormat="1" applyFill="1" applyBorder="1"/>
    <xf numFmtId="164" fontId="0" fillId="0" borderId="4" xfId="0" applyNumberFormat="1" applyFill="1" applyBorder="1"/>
    <xf numFmtId="0" fontId="0" fillId="3" borderId="0" xfId="0" applyFill="1"/>
    <xf numFmtId="0" fontId="2" fillId="2" borderId="21" xfId="0" applyFont="1" applyFill="1" applyBorder="1" applyAlignment="1">
      <alignment horizontal="center"/>
    </xf>
    <xf numFmtId="0" fontId="0" fillId="2" borderId="2" xfId="0" applyFill="1" applyBorder="1" applyAlignment="1">
      <alignment horizontal="left" indent="1"/>
    </xf>
    <xf numFmtId="9" fontId="0" fillId="2" borderId="3" xfId="3" applyFont="1" applyFill="1" applyBorder="1"/>
    <xf numFmtId="164" fontId="0" fillId="2" borderId="32" xfId="0" applyNumberFormat="1" applyFill="1" applyBorder="1"/>
    <xf numFmtId="0" fontId="0" fillId="2" borderId="6" xfId="0" applyFill="1" applyBorder="1"/>
    <xf numFmtId="164" fontId="0" fillId="2" borderId="12" xfId="0" applyNumberFormat="1" applyFill="1" applyBorder="1"/>
    <xf numFmtId="9" fontId="0" fillId="2" borderId="12" xfId="3" applyFont="1" applyFill="1" applyBorder="1"/>
    <xf numFmtId="0" fontId="0" fillId="2" borderId="9" xfId="0" applyFill="1" applyBorder="1"/>
    <xf numFmtId="0" fontId="2" fillId="0" borderId="0" xfId="0" applyFont="1" applyBorder="1"/>
    <xf numFmtId="165" fontId="2" fillId="0" borderId="0" xfId="1" applyNumberFormat="1" applyFont="1" applyBorder="1"/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0" fillId="0" borderId="2" xfId="0" applyBorder="1" applyAlignment="1">
      <alignment horizontal="left"/>
    </xf>
    <xf numFmtId="164" fontId="0" fillId="0" borderId="0" xfId="2" applyNumberFormat="1" applyFont="1" applyBorder="1"/>
    <xf numFmtId="9" fontId="0" fillId="0" borderId="3" xfId="3" applyFont="1" applyFill="1" applyBorder="1"/>
    <xf numFmtId="9" fontId="0" fillId="0" borderId="0" xfId="3" applyFont="1" applyFill="1" applyBorder="1"/>
    <xf numFmtId="166" fontId="0" fillId="0" borderId="0" xfId="0" applyNumberFormat="1"/>
    <xf numFmtId="0" fontId="0" fillId="0" borderId="2" xfId="0" applyFill="1" applyBorder="1" applyAlignment="1">
      <alignment horizontal="left"/>
    </xf>
    <xf numFmtId="165" fontId="0" fillId="0" borderId="0" xfId="1" applyNumberFormat="1" applyFont="1" applyFill="1" applyBorder="1"/>
    <xf numFmtId="165" fontId="0" fillId="0" borderId="0" xfId="0" applyNumberFormat="1" applyFill="1" applyBorder="1"/>
    <xf numFmtId="0" fontId="2" fillId="0" borderId="2" xfId="0" applyFont="1" applyFill="1" applyBorder="1" applyAlignment="1">
      <alignment horizontal="left"/>
    </xf>
    <xf numFmtId="164" fontId="2" fillId="0" borderId="0" xfId="0" applyNumberFormat="1" applyFont="1" applyFill="1" applyBorder="1"/>
    <xf numFmtId="164" fontId="0" fillId="0" borderId="0" xfId="3" applyNumberFormat="1" applyFont="1" applyFill="1" applyBorder="1"/>
    <xf numFmtId="0" fontId="0" fillId="0" borderId="2" xfId="0" applyFont="1" applyBorder="1" applyAlignment="1">
      <alignment horizontal="left"/>
    </xf>
    <xf numFmtId="165" fontId="1" fillId="0" borderId="0" xfId="1" applyNumberFormat="1" applyFont="1" applyBorder="1"/>
    <xf numFmtId="0" fontId="0" fillId="0" borderId="2" xfId="0" applyFont="1" applyFill="1" applyBorder="1" applyAlignment="1">
      <alignment horizontal="left"/>
    </xf>
    <xf numFmtId="0" fontId="2" fillId="0" borderId="2" xfId="0" applyFont="1" applyBorder="1"/>
    <xf numFmtId="164" fontId="2" fillId="0" borderId="0" xfId="2" applyNumberFormat="1" applyFont="1" applyBorder="1"/>
    <xf numFmtId="0" fontId="0" fillId="0" borderId="2" xfId="0" applyFont="1" applyFill="1" applyBorder="1"/>
    <xf numFmtId="0" fontId="0" fillId="0" borderId="0" xfId="0" applyFont="1" applyFill="1" applyBorder="1"/>
    <xf numFmtId="0" fontId="0" fillId="0" borderId="3" xfId="0" applyBorder="1"/>
    <xf numFmtId="0" fontId="2" fillId="0" borderId="6" xfId="0" applyFont="1" applyFill="1" applyBorder="1" applyAlignment="1">
      <alignment horizontal="left"/>
    </xf>
    <xf numFmtId="164" fontId="2" fillId="0" borderId="7" xfId="0" applyNumberFormat="1" applyFont="1" applyFill="1" applyBorder="1"/>
    <xf numFmtId="164" fontId="0" fillId="0" borderId="12" xfId="0" applyNumberFormat="1" applyFill="1" applyBorder="1"/>
    <xf numFmtId="9" fontId="0" fillId="0" borderId="12" xfId="3" applyFont="1" applyFill="1" applyBorder="1"/>
    <xf numFmtId="0" fontId="2" fillId="0" borderId="20" xfId="0" applyFont="1" applyFill="1" applyBorder="1"/>
    <xf numFmtId="0" fontId="2" fillId="0" borderId="21" xfId="0" applyFont="1" applyBorder="1"/>
    <xf numFmtId="0" fontId="2" fillId="0" borderId="20" xfId="0" applyFont="1" applyBorder="1" applyAlignment="1">
      <alignment wrapText="1"/>
    </xf>
    <xf numFmtId="164" fontId="0" fillId="0" borderId="2" xfId="0" applyNumberFormat="1" applyFill="1" applyBorder="1"/>
    <xf numFmtId="0" fontId="0" fillId="0" borderId="6" xfId="0" applyBorder="1"/>
    <xf numFmtId="165" fontId="0" fillId="0" borderId="22" xfId="0" applyNumberFormat="1" applyFill="1" applyBorder="1"/>
    <xf numFmtId="164" fontId="0" fillId="0" borderId="30" xfId="0" applyNumberFormat="1" applyFill="1" applyBorder="1"/>
    <xf numFmtId="9" fontId="0" fillId="7" borderId="12" xfId="3" applyFont="1" applyFill="1" applyBorder="1"/>
    <xf numFmtId="165" fontId="0" fillId="0" borderId="4" xfId="0" applyNumberFormat="1" applyFill="1" applyBorder="1"/>
    <xf numFmtId="0" fontId="0" fillId="0" borderId="4" xfId="0" applyFill="1" applyBorder="1"/>
    <xf numFmtId="164" fontId="0" fillId="0" borderId="0" xfId="2" applyNumberFormat="1" applyFont="1" applyFill="1" applyBorder="1"/>
    <xf numFmtId="0" fontId="0" fillId="0" borderId="6" xfId="0" applyFill="1" applyBorder="1"/>
    <xf numFmtId="0" fontId="0" fillId="0" borderId="8" xfId="0" applyFill="1" applyBorder="1"/>
    <xf numFmtId="0" fontId="2" fillId="0" borderId="20" xfId="0" applyFont="1" applyBorder="1"/>
    <xf numFmtId="0" fontId="0" fillId="0" borderId="9" xfId="0" applyFill="1" applyBorder="1"/>
    <xf numFmtId="0" fontId="2" fillId="0" borderId="6" xfId="0" applyFont="1" applyBorder="1"/>
    <xf numFmtId="165" fontId="2" fillId="0" borderId="8" xfId="1" applyNumberFormat="1" applyFont="1" applyBorder="1"/>
    <xf numFmtId="0" fontId="2" fillId="0" borderId="0" xfId="0" applyFont="1" applyFill="1" applyBorder="1" applyAlignment="1">
      <alignment horizontal="center"/>
    </xf>
    <xf numFmtId="0" fontId="2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1" xfId="0" applyFont="1" applyBorder="1" applyAlignment="1">
      <alignment wrapText="1"/>
    </xf>
    <xf numFmtId="0" fontId="0" fillId="0" borderId="12" xfId="0" applyBorder="1"/>
    <xf numFmtId="164" fontId="0" fillId="0" borderId="6" xfId="0" applyNumberFormat="1" applyFill="1" applyBorder="1"/>
    <xf numFmtId="0" fontId="0" fillId="7" borderId="12" xfId="0" applyFill="1" applyBorder="1"/>
    <xf numFmtId="0" fontId="0" fillId="0" borderId="20" xfId="0" applyFill="1" applyBorder="1"/>
    <xf numFmtId="164" fontId="0" fillId="0" borderId="9" xfId="0" applyNumberFormat="1" applyFill="1" applyBorder="1"/>
    <xf numFmtId="0" fontId="2" fillId="0" borderId="0" xfId="0" applyFont="1" applyFill="1" applyAlignment="1">
      <alignment horizontal="center"/>
    </xf>
    <xf numFmtId="0" fontId="2" fillId="0" borderId="17" xfId="0" applyFont="1" applyFill="1" applyBorder="1" applyAlignment="1">
      <alignment horizontal="left"/>
    </xf>
    <xf numFmtId="164" fontId="0" fillId="0" borderId="8" xfId="0" applyNumberFormat="1" applyBorder="1"/>
    <xf numFmtId="0" fontId="2" fillId="0" borderId="0" xfId="0" applyFont="1"/>
    <xf numFmtId="165" fontId="2" fillId="0" borderId="0" xfId="1" applyNumberFormat="1" applyFont="1"/>
    <xf numFmtId="0" fontId="2" fillId="8" borderId="20" xfId="0" applyFont="1" applyFill="1" applyBorder="1"/>
    <xf numFmtId="0" fontId="2" fillId="9" borderId="0" xfId="0" applyFont="1" applyFill="1" applyBorder="1" applyAlignment="1">
      <alignment horizontal="center"/>
    </xf>
    <xf numFmtId="0" fontId="2" fillId="7" borderId="21" xfId="0" applyFont="1" applyFill="1" applyBorder="1" applyAlignment="1"/>
    <xf numFmtId="0" fontId="0" fillId="7" borderId="9" xfId="0" applyFill="1" applyBorder="1"/>
    <xf numFmtId="0" fontId="0" fillId="0" borderId="0" xfId="0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9" borderId="0" xfId="0" applyFont="1" applyFill="1" applyBorder="1" applyAlignment="1">
      <alignment horizontal="center" wrapText="1"/>
    </xf>
    <xf numFmtId="0" fontId="1" fillId="0" borderId="0" xfId="9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0" fillId="0" borderId="2" xfId="0" applyBorder="1" applyAlignment="1">
      <alignment horizontal="right"/>
    </xf>
    <xf numFmtId="164" fontId="0" fillId="0" borderId="0" xfId="2" applyNumberFormat="1" applyFont="1" applyBorder="1" applyAlignment="1">
      <alignment horizontal="right"/>
    </xf>
    <xf numFmtId="164" fontId="2" fillId="0" borderId="0" xfId="2" applyNumberFormat="1" applyFont="1" applyBorder="1" applyAlignment="1">
      <alignment horizontal="right"/>
    </xf>
    <xf numFmtId="164" fontId="2" fillId="9" borderId="0" xfId="2" applyNumberFormat="1" applyFont="1" applyFill="1" applyBorder="1" applyAlignment="1">
      <alignment horizontal="right"/>
    </xf>
    <xf numFmtId="164" fontId="2" fillId="0" borderId="4" xfId="2" applyNumberFormat="1" applyFont="1" applyBorder="1" applyAlignment="1">
      <alignment horizontal="right"/>
    </xf>
    <xf numFmtId="165" fontId="0" fillId="0" borderId="0" xfId="1" applyNumberFormat="1" applyFont="1" applyBorder="1" applyAlignment="1">
      <alignment horizontal="right"/>
    </xf>
    <xf numFmtId="165" fontId="2" fillId="0" borderId="0" xfId="0" applyNumberFormat="1" applyFont="1" applyBorder="1" applyAlignment="1">
      <alignment horizontal="right"/>
    </xf>
    <xf numFmtId="165" fontId="0" fillId="0" borderId="0" xfId="1" applyNumberFormat="1" applyFont="1" applyFill="1" applyBorder="1" applyAlignment="1">
      <alignment horizontal="right"/>
    </xf>
    <xf numFmtId="164" fontId="2" fillId="0" borderId="0" xfId="2" applyNumberFormat="1" applyFont="1" applyFill="1" applyBorder="1" applyAlignment="1">
      <alignment horizontal="right"/>
    </xf>
    <xf numFmtId="0" fontId="0" fillId="0" borderId="6" xfId="0" applyBorder="1" applyAlignment="1">
      <alignment horizontal="right"/>
    </xf>
    <xf numFmtId="164" fontId="2" fillId="0" borderId="7" xfId="2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164" fontId="2" fillId="9" borderId="0" xfId="0" applyNumberFormat="1" applyFont="1" applyFill="1" applyBorder="1" applyAlignment="1">
      <alignment horizontal="right"/>
    </xf>
    <xf numFmtId="0" fontId="0" fillId="9" borderId="0" xfId="0" applyFill="1" applyBorder="1"/>
    <xf numFmtId="17" fontId="2" fillId="10" borderId="20" xfId="0" quotePrefix="1" applyNumberFormat="1" applyFont="1" applyFill="1" applyBorder="1"/>
    <xf numFmtId="0" fontId="2" fillId="10" borderId="21" xfId="0" applyFont="1" applyFill="1" applyBorder="1" applyAlignment="1"/>
    <xf numFmtId="0" fontId="0" fillId="10" borderId="9" xfId="0" applyFill="1" applyBorder="1"/>
    <xf numFmtId="0" fontId="0" fillId="10" borderId="2" xfId="0" applyFill="1" applyBorder="1"/>
    <xf numFmtId="0" fontId="0" fillId="10" borderId="0" xfId="0" applyFill="1" applyBorder="1" applyAlignment="1">
      <alignment horizontal="center" wrapText="1"/>
    </xf>
    <xf numFmtId="0" fontId="2" fillId="10" borderId="0" xfId="0" applyFont="1" applyFill="1" applyBorder="1" applyAlignment="1">
      <alignment horizontal="center" wrapText="1"/>
    </xf>
    <xf numFmtId="0" fontId="1" fillId="10" borderId="0" xfId="9" applyFill="1" applyBorder="1" applyAlignment="1">
      <alignment horizontal="center" wrapText="1"/>
    </xf>
    <xf numFmtId="0" fontId="2" fillId="10" borderId="4" xfId="0" applyFont="1" applyFill="1" applyBorder="1" applyAlignment="1">
      <alignment wrapText="1"/>
    </xf>
    <xf numFmtId="0" fontId="0" fillId="10" borderId="2" xfId="0" applyFill="1" applyBorder="1" applyAlignment="1">
      <alignment horizontal="right"/>
    </xf>
    <xf numFmtId="164" fontId="2" fillId="10" borderId="0" xfId="2" applyNumberFormat="1" applyFont="1" applyFill="1" applyBorder="1" applyAlignment="1">
      <alignment horizontal="right"/>
    </xf>
    <xf numFmtId="164" fontId="2" fillId="10" borderId="4" xfId="2" applyNumberFormat="1" applyFont="1" applyFill="1" applyBorder="1" applyAlignment="1">
      <alignment horizontal="right"/>
    </xf>
    <xf numFmtId="165" fontId="2" fillId="10" borderId="0" xfId="0" applyNumberFormat="1" applyFont="1" applyFill="1" applyBorder="1" applyAlignment="1">
      <alignment horizontal="right"/>
    </xf>
    <xf numFmtId="0" fontId="0" fillId="10" borderId="6" xfId="0" applyFill="1" applyBorder="1" applyAlignment="1">
      <alignment horizontal="right"/>
    </xf>
    <xf numFmtId="164" fontId="2" fillId="10" borderId="7" xfId="2" applyNumberFormat="1" applyFont="1" applyFill="1" applyBorder="1" applyAlignment="1">
      <alignment horizontal="right"/>
    </xf>
    <xf numFmtId="164" fontId="2" fillId="10" borderId="7" xfId="0" applyNumberFormat="1" applyFont="1" applyFill="1" applyBorder="1" applyAlignment="1">
      <alignment horizontal="right"/>
    </xf>
    <xf numFmtId="164" fontId="2" fillId="10" borderId="8" xfId="2" applyNumberFormat="1" applyFont="1" applyFill="1" applyBorder="1" applyAlignment="1">
      <alignment horizontal="right"/>
    </xf>
    <xf numFmtId="17" fontId="2" fillId="7" borderId="20" xfId="0" quotePrefix="1" applyNumberFormat="1" applyFont="1" applyFill="1" applyBorder="1"/>
    <xf numFmtId="164" fontId="0" fillId="0" borderId="4" xfId="2" applyNumberFormat="1" applyFont="1" applyBorder="1" applyAlignment="1">
      <alignment horizontal="right"/>
    </xf>
    <xf numFmtId="164" fontId="2" fillId="0" borderId="8" xfId="2" applyNumberFormat="1" applyFont="1" applyBorder="1" applyAlignment="1">
      <alignment horizontal="right"/>
    </xf>
    <xf numFmtId="0" fontId="2" fillId="0" borderId="21" xfId="0" applyFont="1" applyFill="1" applyBorder="1" applyAlignment="1">
      <alignment horizontal="center"/>
    </xf>
    <xf numFmtId="0" fontId="0" fillId="0" borderId="9" xfId="0" applyBorder="1"/>
    <xf numFmtId="9" fontId="0" fillId="0" borderId="0" xfId="3" applyFont="1" applyFill="1" applyBorder="1" applyAlignment="1">
      <alignment horizontal="right"/>
    </xf>
    <xf numFmtId="9" fontId="0" fillId="0" borderId="0" xfId="3" applyFont="1" applyBorder="1" applyAlignment="1">
      <alignment horizontal="right"/>
    </xf>
    <xf numFmtId="9" fontId="0" fillId="9" borderId="0" xfId="3" applyFont="1" applyFill="1" applyBorder="1" applyAlignment="1">
      <alignment horizontal="right"/>
    </xf>
    <xf numFmtId="9" fontId="0" fillId="0" borderId="4" xfId="3" applyFont="1" applyBorder="1" applyAlignment="1">
      <alignment horizontal="right"/>
    </xf>
    <xf numFmtId="9" fontId="0" fillId="0" borderId="7" xfId="3" applyFont="1" applyBorder="1" applyAlignment="1">
      <alignment horizontal="right"/>
    </xf>
    <xf numFmtId="9" fontId="0" fillId="0" borderId="8" xfId="3" applyFont="1" applyBorder="1" applyAlignment="1">
      <alignment horizontal="right"/>
    </xf>
    <xf numFmtId="0" fontId="0" fillId="11" borderId="0" xfId="0" applyFill="1"/>
    <xf numFmtId="0" fontId="0" fillId="5" borderId="0" xfId="0" applyFill="1" applyBorder="1"/>
    <xf numFmtId="0" fontId="0" fillId="6" borderId="0" xfId="0" applyFill="1" applyBorder="1"/>
    <xf numFmtId="2" fontId="0" fillId="0" borderId="0" xfId="0" applyNumberFormat="1"/>
    <xf numFmtId="0" fontId="0" fillId="0" borderId="0" xfId="0" applyFont="1"/>
    <xf numFmtId="167" fontId="0" fillId="0" borderId="0" xfId="3" applyNumberFormat="1" applyFont="1" applyBorder="1"/>
    <xf numFmtId="167" fontId="0" fillId="0" borderId="12" xfId="3" applyNumberFormat="1" applyFont="1" applyBorder="1"/>
    <xf numFmtId="0" fontId="0" fillId="0" borderId="7" xfId="0" applyBorder="1"/>
    <xf numFmtId="165" fontId="0" fillId="6" borderId="0" xfId="1" applyNumberFormat="1" applyFont="1" applyFill="1" applyBorder="1"/>
    <xf numFmtId="0" fontId="2" fillId="7" borderId="20" xfId="0" applyFont="1" applyFill="1" applyBorder="1"/>
    <xf numFmtId="167" fontId="0" fillId="0" borderId="3" xfId="3" applyNumberFormat="1" applyFont="1" applyBorder="1"/>
    <xf numFmtId="164" fontId="0" fillId="0" borderId="8" xfId="2" applyNumberFormat="1" applyFont="1" applyBorder="1"/>
    <xf numFmtId="164" fontId="0" fillId="0" borderId="7" xfId="0" applyNumberFormat="1" applyBorder="1"/>
    <xf numFmtId="164" fontId="2" fillId="0" borderId="7" xfId="2" applyNumberFormat="1" applyFont="1" applyBorder="1"/>
    <xf numFmtId="164" fontId="2" fillId="0" borderId="7" xfId="0" applyNumberFormat="1" applyFont="1" applyBorder="1"/>
    <xf numFmtId="165" fontId="0" fillId="0" borderId="0" xfId="0" applyNumberFormat="1" applyBorder="1"/>
    <xf numFmtId="165" fontId="0" fillId="11" borderId="0" xfId="1" applyNumberFormat="1" applyFont="1" applyFill="1" applyBorder="1"/>
    <xf numFmtId="165" fontId="0" fillId="5" borderId="0" xfId="1" applyNumberFormat="1" applyFont="1" applyFill="1" applyBorder="1"/>
    <xf numFmtId="164" fontId="0" fillId="3" borderId="0" xfId="1" applyNumberFormat="1" applyFont="1" applyFill="1" applyBorder="1"/>
    <xf numFmtId="0" fontId="2" fillId="0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164" fontId="2" fillId="0" borderId="0" xfId="0" applyNumberFormat="1" applyFont="1" applyBorder="1"/>
    <xf numFmtId="9" fontId="0" fillId="0" borderId="0" xfId="3" applyFont="1" applyBorder="1"/>
    <xf numFmtId="9" fontId="0" fillId="0" borderId="8" xfId="3" applyFont="1" applyBorder="1"/>
    <xf numFmtId="9" fontId="0" fillId="0" borderId="7" xfId="3" applyFont="1" applyBorder="1"/>
    <xf numFmtId="9" fontId="0" fillId="0" borderId="4" xfId="3" applyFont="1" applyBorder="1"/>
    <xf numFmtId="164" fontId="0" fillId="0" borderId="4" xfId="3" applyNumberFormat="1" applyFont="1" applyBorder="1"/>
    <xf numFmtId="164" fontId="0" fillId="0" borderId="0" xfId="3" applyNumberFormat="1" applyFont="1" applyBorder="1"/>
    <xf numFmtId="164" fontId="0" fillId="0" borderId="8" xfId="3" applyNumberFormat="1" applyFont="1" applyBorder="1"/>
    <xf numFmtId="164" fontId="0" fillId="0" borderId="7" xfId="3" applyNumberFormat="1" applyFont="1" applyBorder="1"/>
    <xf numFmtId="164" fontId="0" fillId="2" borderId="0" xfId="3" applyNumberFormat="1" applyFont="1" applyFill="1" applyBorder="1"/>
    <xf numFmtId="164" fontId="2" fillId="0" borderId="0" xfId="2" applyNumberFormat="1" applyFont="1" applyFill="1" applyBorder="1"/>
    <xf numFmtId="164" fontId="2" fillId="10" borderId="7" xfId="2" applyNumberFormat="1" applyFont="1" applyFill="1" applyBorder="1"/>
    <xf numFmtId="0" fontId="0" fillId="10" borderId="6" xfId="0" applyFill="1" applyBorder="1"/>
    <xf numFmtId="44" fontId="0" fillId="0" borderId="0" xfId="0" applyNumberFormat="1"/>
    <xf numFmtId="0" fontId="2" fillId="10" borderId="0" xfId="0" applyFont="1" applyFill="1" applyBorder="1" applyAlignment="1">
      <alignment wrapText="1"/>
    </xf>
    <xf numFmtId="0" fontId="0" fillId="10" borderId="0" xfId="0" applyFill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7" xfId="2" applyNumberFormat="1" applyFont="1" applyFill="1" applyBorder="1"/>
    <xf numFmtId="0" fontId="9" fillId="0" borderId="0" xfId="0" applyFont="1" applyBorder="1"/>
    <xf numFmtId="9" fontId="10" fillId="0" borderId="0" xfId="3" applyFont="1" applyBorder="1"/>
    <xf numFmtId="164" fontId="10" fillId="0" borderId="0" xfId="0" applyNumberFormat="1" applyFont="1" applyBorder="1"/>
    <xf numFmtId="9" fontId="11" fillId="0" borderId="8" xfId="3" applyFont="1" applyBorder="1"/>
    <xf numFmtId="164" fontId="0" fillId="0" borderId="12" xfId="0" applyNumberFormat="1" applyBorder="1"/>
    <xf numFmtId="164" fontId="2" fillId="0" borderId="12" xfId="2" applyNumberFormat="1" applyFont="1" applyBorder="1"/>
    <xf numFmtId="9" fontId="12" fillId="0" borderId="4" xfId="3" applyFont="1" applyFill="1" applyBorder="1"/>
    <xf numFmtId="164" fontId="0" fillId="0" borderId="3" xfId="0" applyNumberFormat="1" applyBorder="1"/>
    <xf numFmtId="165" fontId="0" fillId="0" borderId="3" xfId="1" applyNumberFormat="1" applyFont="1" applyFill="1" applyBorder="1"/>
    <xf numFmtId="9" fontId="11" fillId="0" borderId="10" xfId="3" applyFont="1" applyBorder="1"/>
    <xf numFmtId="164" fontId="0" fillId="0" borderId="14" xfId="0" applyNumberFormat="1" applyBorder="1"/>
    <xf numFmtId="164" fontId="2" fillId="0" borderId="14" xfId="2" applyNumberFormat="1" applyFont="1" applyBorder="1"/>
    <xf numFmtId="0" fontId="8" fillId="0" borderId="0" xfId="0" applyFont="1" applyBorder="1" applyAlignment="1">
      <alignment wrapText="1"/>
    </xf>
    <xf numFmtId="0" fontId="8" fillId="0" borderId="0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wrapText="1"/>
    </xf>
    <xf numFmtId="0" fontId="2" fillId="0" borderId="17" xfId="0" applyFont="1" applyBorder="1" applyAlignment="1">
      <alignment horizontal="left"/>
    </xf>
    <xf numFmtId="164" fontId="0" fillId="0" borderId="0" xfId="2" applyNumberFormat="1" applyFont="1"/>
    <xf numFmtId="164" fontId="0" fillId="2" borderId="4" xfId="0" applyNumberFormat="1" applyFill="1" applyBorder="1"/>
    <xf numFmtId="2" fontId="13" fillId="0" borderId="0" xfId="0" applyNumberFormat="1" applyFont="1"/>
    <xf numFmtId="164" fontId="0" fillId="2" borderId="22" xfId="0" applyNumberFormat="1" applyFill="1" applyBorder="1"/>
    <xf numFmtId="9" fontId="0" fillId="0" borderId="0" xfId="0" applyNumberFormat="1" applyFill="1" applyBorder="1"/>
    <xf numFmtId="2" fontId="8" fillId="0" borderId="0" xfId="0" applyNumberFormat="1" applyFont="1"/>
    <xf numFmtId="164" fontId="0" fillId="2" borderId="20" xfId="2" applyNumberFormat="1" applyFont="1" applyFill="1" applyBorder="1"/>
    <xf numFmtId="0" fontId="2" fillId="2" borderId="17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164" fontId="2" fillId="0" borderId="8" xfId="2" applyNumberFormat="1" applyFont="1" applyBorder="1"/>
    <xf numFmtId="164" fontId="1" fillId="0" borderId="0" xfId="13" applyNumberFormat="1" applyFont="1"/>
    <xf numFmtId="165" fontId="1" fillId="0" borderId="0" xfId="14" applyNumberFormat="1" applyFont="1"/>
    <xf numFmtId="165" fontId="1" fillId="0" borderId="0" xfId="14" applyNumberFormat="1" applyFont="1" applyFill="1"/>
    <xf numFmtId="0" fontId="2" fillId="7" borderId="20" xfId="0" applyFont="1" applyFill="1" applyBorder="1" applyAlignment="1"/>
    <xf numFmtId="0" fontId="1" fillId="0" borderId="2" xfId="9" applyBorder="1" applyAlignment="1">
      <alignment horizontal="center" wrapText="1"/>
    </xf>
    <xf numFmtId="164" fontId="0" fillId="0" borderId="2" xfId="2" applyNumberFormat="1" applyFont="1" applyBorder="1" applyAlignment="1">
      <alignment horizontal="right"/>
    </xf>
    <xf numFmtId="165" fontId="0" fillId="0" borderId="2" xfId="1" applyNumberFormat="1" applyFont="1" applyBorder="1" applyAlignment="1">
      <alignment horizontal="right"/>
    </xf>
    <xf numFmtId="164" fontId="2" fillId="0" borderId="6" xfId="2" applyNumberFormat="1" applyFont="1" applyBorder="1" applyAlignment="1">
      <alignment horizontal="right"/>
    </xf>
    <xf numFmtId="164" fontId="2" fillId="0" borderId="8" xfId="0" applyNumberFormat="1" applyFont="1" applyBorder="1"/>
    <xf numFmtId="164" fontId="2" fillId="0" borderId="8" xfId="0" applyNumberFormat="1" applyFont="1" applyFill="1" applyBorder="1"/>
    <xf numFmtId="164" fontId="3" fillId="0" borderId="4" xfId="2" applyNumberFormat="1" applyFont="1" applyFill="1" applyBorder="1" applyAlignment="1">
      <alignment horizontal="right" vertical="center"/>
    </xf>
    <xf numFmtId="164" fontId="0" fillId="2" borderId="8" xfId="2" applyNumberFormat="1" applyFont="1" applyFill="1" applyBorder="1"/>
    <xf numFmtId="164" fontId="0" fillId="0" borderId="33" xfId="2" applyNumberFormat="1" applyFont="1" applyFill="1" applyBorder="1"/>
    <xf numFmtId="49" fontId="14" fillId="0" borderId="0" xfId="0" applyNumberFormat="1" applyFon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49" fontId="0" fillId="0" borderId="0" xfId="0" applyNumberFormat="1"/>
    <xf numFmtId="49" fontId="0" fillId="0" borderId="34" xfId="0" applyNumberFormat="1" applyBorder="1" applyAlignment="1">
      <alignment horizontal="centerContinuous"/>
    </xf>
    <xf numFmtId="49" fontId="14" fillId="0" borderId="35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15" fillId="0" borderId="0" xfId="0" applyNumberFormat="1" applyFont="1"/>
    <xf numFmtId="166" fontId="15" fillId="0" borderId="7" xfId="0" applyNumberFormat="1" applyFont="1" applyBorder="1"/>
    <xf numFmtId="166" fontId="15" fillId="0" borderId="18" xfId="0" applyNumberFormat="1" applyFont="1" applyBorder="1"/>
    <xf numFmtId="166" fontId="15" fillId="0" borderId="21" xfId="0" applyNumberFormat="1" applyFont="1" applyBorder="1"/>
    <xf numFmtId="166" fontId="14" fillId="0" borderId="36" xfId="0" applyNumberFormat="1" applyFont="1" applyBorder="1"/>
    <xf numFmtId="0" fontId="14" fillId="0" borderId="0" xfId="0" applyFont="1"/>
    <xf numFmtId="0" fontId="14" fillId="0" borderId="0" xfId="0" applyNumberFormat="1" applyFont="1"/>
    <xf numFmtId="0" fontId="0" fillId="0" borderId="0" xfId="0" applyNumberFormat="1"/>
    <xf numFmtId="2" fontId="0" fillId="0" borderId="0" xfId="0" applyNumberFormat="1" applyBorder="1"/>
    <xf numFmtId="164" fontId="0" fillId="10" borderId="0" xfId="2" applyNumberFormat="1" applyFont="1" applyFill="1" applyBorder="1"/>
    <xf numFmtId="164" fontId="0" fillId="10" borderId="4" xfId="2" applyNumberFormat="1" applyFont="1" applyFill="1" applyBorder="1"/>
    <xf numFmtId="165" fontId="0" fillId="10" borderId="0" xfId="1" applyNumberFormat="1" applyFont="1" applyFill="1" applyBorder="1"/>
    <xf numFmtId="164" fontId="0" fillId="2" borderId="25" xfId="0" applyNumberFormat="1" applyFill="1" applyBorder="1"/>
    <xf numFmtId="165" fontId="1" fillId="0" borderId="0" xfId="1" applyNumberFormat="1" applyFont="1" applyFill="1" applyBorder="1"/>
    <xf numFmtId="164" fontId="0" fillId="10" borderId="0" xfId="2" applyNumberFormat="1" applyFont="1" applyFill="1" applyBorder="1" applyAlignment="1">
      <alignment horizontal="right"/>
    </xf>
    <xf numFmtId="165" fontId="0" fillId="10" borderId="0" xfId="1" applyNumberFormat="1" applyFont="1" applyFill="1" applyBorder="1" applyAlignment="1">
      <alignment horizontal="right"/>
    </xf>
    <xf numFmtId="40" fontId="16" fillId="0" borderId="0" xfId="0" applyNumberFormat="1" applyFont="1" applyAlignment="1">
      <alignment horizontal="center" wrapText="1"/>
    </xf>
    <xf numFmtId="40" fontId="16" fillId="0" borderId="7" xfId="1" applyNumberFormat="1" applyFont="1" applyBorder="1" applyAlignment="1">
      <alignment horizontal="center" wrapText="1"/>
    </xf>
    <xf numFmtId="40" fontId="16" fillId="0" borderId="7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164" fontId="2" fillId="10" borderId="7" xfId="0" applyNumberFormat="1" applyFont="1" applyFill="1" applyBorder="1"/>
    <xf numFmtId="164" fontId="2" fillId="10" borderId="8" xfId="2" applyNumberFormat="1" applyFont="1" applyFill="1" applyBorder="1"/>
    <xf numFmtId="165" fontId="1" fillId="0" borderId="3" xfId="1" applyNumberFormat="1" applyFont="1" applyFill="1" applyBorder="1" applyAlignment="1">
      <alignment horizontal="center"/>
    </xf>
    <xf numFmtId="164" fontId="2" fillId="0" borderId="12" xfId="2" applyNumberFormat="1" applyFont="1" applyFill="1" applyBorder="1" applyAlignment="1">
      <alignment horizontal="center"/>
    </xf>
    <xf numFmtId="164" fontId="1" fillId="0" borderId="5" xfId="2" applyNumberFormat="1" applyFont="1" applyFill="1" applyBorder="1" applyAlignment="1">
      <alignment horizontal="center"/>
    </xf>
    <xf numFmtId="164" fontId="2" fillId="0" borderId="8" xfId="2" applyNumberFormat="1" applyFont="1" applyFill="1" applyBorder="1"/>
    <xf numFmtId="165" fontId="0" fillId="0" borderId="4" xfId="1" applyNumberFormat="1" applyFont="1" applyFill="1" applyBorder="1"/>
    <xf numFmtId="4" fontId="0" fillId="0" borderId="0" xfId="0" applyNumberFormat="1"/>
    <xf numFmtId="49" fontId="14" fillId="0" borderId="34" xfId="0" applyNumberFormat="1" applyFont="1" applyBorder="1" applyAlignment="1">
      <alignment horizontal="center"/>
    </xf>
    <xf numFmtId="44" fontId="0" fillId="0" borderId="0" xfId="0" applyNumberFormat="1" applyBorder="1"/>
    <xf numFmtId="0" fontId="10" fillId="2" borderId="0" xfId="0" applyFont="1" applyFill="1" applyBorder="1"/>
    <xf numFmtId="0" fontId="8" fillId="2" borderId="0" xfId="0" applyFont="1" applyFill="1" applyBorder="1" applyAlignment="1">
      <alignment horizontal="center"/>
    </xf>
    <xf numFmtId="14" fontId="10" fillId="2" borderId="0" xfId="0" applyNumberFormat="1" applyFont="1" applyFill="1" applyBorder="1"/>
    <xf numFmtId="165" fontId="10" fillId="2" borderId="0" xfId="1" applyNumberFormat="1" applyFont="1" applyFill="1" applyBorder="1"/>
    <xf numFmtId="0" fontId="8" fillId="2" borderId="0" xfId="0" applyFont="1" applyFill="1" applyBorder="1"/>
    <xf numFmtId="164" fontId="10" fillId="2" borderId="0" xfId="2" applyNumberFormat="1" applyFont="1" applyFill="1" applyBorder="1"/>
    <xf numFmtId="165" fontId="8" fillId="2" borderId="0" xfId="1" applyNumberFormat="1" applyFont="1" applyFill="1" applyBorder="1"/>
    <xf numFmtId="164" fontId="8" fillId="2" borderId="0" xfId="0" applyNumberFormat="1" applyFont="1" applyFill="1" applyBorder="1"/>
    <xf numFmtId="165" fontId="10" fillId="2" borderId="0" xfId="0" applyNumberFormat="1" applyFont="1" applyFill="1" applyBorder="1"/>
    <xf numFmtId="165" fontId="8" fillId="2" borderId="0" xfId="0" applyNumberFormat="1" applyFont="1" applyFill="1" applyBorder="1"/>
    <xf numFmtId="9" fontId="0" fillId="0" borderId="0" xfId="3" applyFont="1"/>
    <xf numFmtId="44" fontId="0" fillId="0" borderId="0" xfId="0" applyNumberFormat="1" applyFill="1"/>
    <xf numFmtId="165" fontId="2" fillId="2" borderId="28" xfId="1" applyNumberFormat="1" applyFont="1" applyFill="1" applyBorder="1"/>
    <xf numFmtId="164" fontId="0" fillId="2" borderId="14" xfId="0" applyNumberFormat="1" applyFill="1" applyBorder="1"/>
    <xf numFmtId="0" fontId="2" fillId="2" borderId="31" xfId="0" applyFont="1" applyFill="1" applyBorder="1" applyAlignment="1">
      <alignment horizontal="center" wrapText="1"/>
    </xf>
    <xf numFmtId="164" fontId="2" fillId="2" borderId="26" xfId="2" applyNumberFormat="1" applyFont="1" applyFill="1" applyBorder="1"/>
    <xf numFmtId="164" fontId="0" fillId="2" borderId="28" xfId="0" applyNumberFormat="1" applyFill="1" applyBorder="1"/>
    <xf numFmtId="164" fontId="0" fillId="0" borderId="5" xfId="2" applyNumberFormat="1" applyFont="1" applyBorder="1"/>
    <xf numFmtId="164" fontId="0" fillId="0" borderId="3" xfId="2" applyNumberFormat="1" applyFont="1" applyBorder="1"/>
    <xf numFmtId="164" fontId="0" fillId="0" borderId="14" xfId="2" applyNumberFormat="1" applyFont="1" applyBorder="1"/>
    <xf numFmtId="164" fontId="0" fillId="0" borderId="14" xfId="2" applyNumberFormat="1" applyFont="1" applyFill="1" applyBorder="1"/>
    <xf numFmtId="164" fontId="3" fillId="0" borderId="3" xfId="2" applyNumberFormat="1" applyFont="1" applyBorder="1" applyAlignment="1">
      <alignment horizontal="right" vertical="center"/>
    </xf>
    <xf numFmtId="164" fontId="0" fillId="0" borderId="12" xfId="2" applyNumberFormat="1" applyFont="1" applyFill="1" applyBorder="1"/>
    <xf numFmtId="0" fontId="2" fillId="2" borderId="28" xfId="0" applyFont="1" applyFill="1" applyBorder="1"/>
    <xf numFmtId="164" fontId="0" fillId="2" borderId="37" xfId="2" applyNumberFormat="1" applyFont="1" applyFill="1" applyBorder="1"/>
    <xf numFmtId="164" fontId="0" fillId="2" borderId="11" xfId="2" applyNumberFormat="1" applyFont="1" applyFill="1" applyBorder="1"/>
    <xf numFmtId="0" fontId="0" fillId="2" borderId="11" xfId="0" applyFill="1" applyBorder="1"/>
    <xf numFmtId="164" fontId="3" fillId="2" borderId="11" xfId="2" applyNumberFormat="1" applyFont="1" applyFill="1" applyBorder="1" applyAlignment="1">
      <alignment horizontal="right" vertical="center"/>
    </xf>
    <xf numFmtId="164" fontId="2" fillId="2" borderId="16" xfId="0" applyNumberFormat="1" applyFont="1" applyFill="1" applyBorder="1"/>
    <xf numFmtId="165" fontId="2" fillId="2" borderId="29" xfId="1" applyNumberFormat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12" xfId="0" applyFont="1" applyFill="1" applyBorder="1"/>
    <xf numFmtId="164" fontId="2" fillId="2" borderId="16" xfId="2" applyNumberFormat="1" applyFont="1" applyFill="1" applyBorder="1"/>
    <xf numFmtId="165" fontId="0" fillId="2" borderId="29" xfId="0" applyNumberFormat="1" applyFill="1" applyBorder="1"/>
    <xf numFmtId="0" fontId="2" fillId="2" borderId="5" xfId="0" applyFont="1" applyFill="1" applyBorder="1" applyAlignment="1">
      <alignment horizontal="center" wrapText="1"/>
    </xf>
    <xf numFmtId="165" fontId="0" fillId="2" borderId="3" xfId="0" applyNumberFormat="1" applyFill="1" applyBorder="1"/>
    <xf numFmtId="165" fontId="2" fillId="2" borderId="14" xfId="0" applyNumberFormat="1" applyFont="1" applyFill="1" applyBorder="1"/>
    <xf numFmtId="164" fontId="2" fillId="2" borderId="38" xfId="0" applyNumberFormat="1" applyFont="1" applyFill="1" applyBorder="1"/>
    <xf numFmtId="165" fontId="2" fillId="2" borderId="25" xfId="0" applyNumberFormat="1" applyFont="1" applyFill="1" applyBorder="1"/>
    <xf numFmtId="165" fontId="0" fillId="2" borderId="11" xfId="1" applyNumberFormat="1" applyFont="1" applyFill="1" applyBorder="1"/>
    <xf numFmtId="165" fontId="0" fillId="2" borderId="40" xfId="1" applyNumberFormat="1" applyFont="1" applyFill="1" applyBorder="1"/>
    <xf numFmtId="165" fontId="2" fillId="2" borderId="40" xfId="1" applyNumberFormat="1" applyFont="1" applyFill="1" applyBorder="1"/>
    <xf numFmtId="165" fontId="1" fillId="2" borderId="11" xfId="1" applyNumberFormat="1" applyFont="1" applyFill="1" applyBorder="1"/>
    <xf numFmtId="165" fontId="2" fillId="2" borderId="42" xfId="1" applyNumberFormat="1" applyFont="1" applyFill="1" applyBorder="1"/>
    <xf numFmtId="165" fontId="2" fillId="0" borderId="29" xfId="1" applyNumberFormat="1" applyFont="1" applyFill="1" applyBorder="1"/>
    <xf numFmtId="164" fontId="1" fillId="2" borderId="11" xfId="2" applyNumberFormat="1" applyFont="1" applyFill="1" applyBorder="1"/>
    <xf numFmtId="165" fontId="0" fillId="0" borderId="11" xfId="0" applyNumberFormat="1" applyFill="1" applyBorder="1"/>
    <xf numFmtId="164" fontId="2" fillId="2" borderId="25" xfId="0" applyNumberFormat="1" applyFont="1" applyFill="1" applyBorder="1"/>
    <xf numFmtId="9" fontId="9" fillId="2" borderId="0" xfId="3" applyFont="1" applyFill="1" applyBorder="1"/>
    <xf numFmtId="164" fontId="0" fillId="2" borderId="26" xfId="0" applyNumberFormat="1" applyFill="1" applyBorder="1"/>
    <xf numFmtId="165" fontId="0" fillId="2" borderId="26" xfId="0" applyNumberFormat="1" applyFill="1" applyBorder="1"/>
    <xf numFmtId="164" fontId="2" fillId="2" borderId="39" xfId="0" applyNumberFormat="1" applyFont="1" applyFill="1" applyBorder="1"/>
    <xf numFmtId="164" fontId="0" fillId="2" borderId="40" xfId="2" applyNumberFormat="1" applyFont="1" applyFill="1" applyBorder="1"/>
    <xf numFmtId="164" fontId="2" fillId="2" borderId="28" xfId="0" applyNumberFormat="1" applyFont="1" applyFill="1" applyBorder="1"/>
    <xf numFmtId="0" fontId="20" fillId="2" borderId="0" xfId="0" applyFont="1" applyFill="1"/>
    <xf numFmtId="164" fontId="0" fillId="0" borderId="5" xfId="2" applyNumberFormat="1" applyFont="1" applyFill="1" applyBorder="1"/>
    <xf numFmtId="164" fontId="13" fillId="2" borderId="0" xfId="0" applyNumberFormat="1" applyFont="1" applyFill="1" applyBorder="1"/>
    <xf numFmtId="0" fontId="0" fillId="0" borderId="0" xfId="0"/>
    <xf numFmtId="0" fontId="0" fillId="0" borderId="0" xfId="0" applyBorder="1"/>
    <xf numFmtId="40" fontId="15" fillId="0" borderId="0" xfId="0" applyNumberFormat="1" applyFont="1"/>
    <xf numFmtId="40" fontId="17" fillId="0" borderId="0" xfId="1" applyNumberFormat="1" applyFont="1"/>
    <xf numFmtId="40" fontId="17" fillId="0" borderId="0" xfId="0" applyNumberFormat="1" applyFont="1"/>
    <xf numFmtId="40" fontId="15" fillId="0" borderId="7" xfId="0" applyNumberFormat="1" applyFont="1" applyBorder="1"/>
    <xf numFmtId="40" fontId="15" fillId="0" borderId="0" xfId="0" applyNumberFormat="1" applyFont="1" applyBorder="1"/>
    <xf numFmtId="40" fontId="17" fillId="0" borderId="7" xfId="1" applyNumberFormat="1" applyFont="1" applyBorder="1"/>
    <xf numFmtId="40" fontId="17" fillId="0" borderId="7" xfId="0" applyNumberFormat="1" applyFont="1" applyBorder="1"/>
    <xf numFmtId="40" fontId="14" fillId="0" borderId="0" xfId="0" applyNumberFormat="1" applyFont="1" applyBorder="1"/>
    <xf numFmtId="40" fontId="16" fillId="0" borderId="0" xfId="0" applyNumberFormat="1" applyFont="1"/>
    <xf numFmtId="40" fontId="17" fillId="0" borderId="0" xfId="0" applyNumberFormat="1" applyFont="1" applyBorder="1"/>
    <xf numFmtId="40" fontId="16" fillId="0" borderId="0" xfId="0" applyNumberFormat="1" applyFont="1" applyBorder="1"/>
    <xf numFmtId="40" fontId="14" fillId="0" borderId="7" xfId="0" applyNumberFormat="1" applyFont="1" applyBorder="1"/>
    <xf numFmtId="40" fontId="16" fillId="0" borderId="7" xfId="0" applyNumberFormat="1" applyFont="1" applyBorder="1"/>
    <xf numFmtId="40" fontId="17" fillId="0" borderId="0" xfId="1" applyNumberFormat="1" applyFont="1" applyBorder="1"/>
    <xf numFmtId="43" fontId="0" fillId="0" borderId="0" xfId="0" applyNumberFormat="1"/>
    <xf numFmtId="164" fontId="0" fillId="0" borderId="0" xfId="0" applyNumberFormat="1" applyFont="1" applyFill="1"/>
    <xf numFmtId="0" fontId="0" fillId="0" borderId="0" xfId="0" applyFont="1" applyFill="1"/>
    <xf numFmtId="165" fontId="0" fillId="0" borderId="0" xfId="0" applyNumberFormat="1" applyFont="1" applyFill="1"/>
    <xf numFmtId="0" fontId="2" fillId="0" borderId="6" xfId="0" applyFont="1" applyFill="1" applyBorder="1"/>
    <xf numFmtId="164" fontId="0" fillId="0" borderId="29" xfId="0" applyNumberFormat="1" applyFill="1" applyBorder="1"/>
    <xf numFmtId="164" fontId="0" fillId="0" borderId="28" xfId="0" applyNumberFormat="1" applyFill="1" applyBorder="1"/>
    <xf numFmtId="168" fontId="0" fillId="0" borderId="0" xfId="0" applyNumberFormat="1" applyFill="1"/>
    <xf numFmtId="165" fontId="0" fillId="0" borderId="0" xfId="0" applyNumberFormat="1" applyFill="1"/>
    <xf numFmtId="0" fontId="20" fillId="0" borderId="0" xfId="0" applyFont="1" applyFill="1" applyBorder="1"/>
    <xf numFmtId="0" fontId="7" fillId="0" borderId="0" xfId="0" applyFont="1" applyFill="1"/>
    <xf numFmtId="0" fontId="2" fillId="0" borderId="18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18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2" fillId="0" borderId="21" xfId="0" applyFont="1" applyFill="1" applyBorder="1" applyAlignment="1">
      <alignment wrapText="1"/>
    </xf>
    <xf numFmtId="164" fontId="0" fillId="0" borderId="20" xfId="0" applyNumberFormat="1" applyFill="1" applyBorder="1"/>
    <xf numFmtId="164" fontId="0" fillId="0" borderId="31" xfId="2" applyNumberFormat="1" applyFont="1" applyFill="1" applyBorder="1"/>
    <xf numFmtId="164" fontId="0" fillId="0" borderId="26" xfId="2" applyNumberFormat="1" applyFont="1" applyFill="1" applyBorder="1"/>
    <xf numFmtId="164" fontId="0" fillId="0" borderId="11" xfId="0" applyNumberFormat="1" applyFill="1" applyBorder="1"/>
    <xf numFmtId="164" fontId="0" fillId="0" borderId="41" xfId="2" applyNumberFormat="1" applyFont="1" applyFill="1" applyBorder="1"/>
    <xf numFmtId="164" fontId="0" fillId="0" borderId="27" xfId="2" applyNumberFormat="1" applyFont="1" applyFill="1" applyBorder="1"/>
    <xf numFmtId="164" fontId="0" fillId="0" borderId="26" xfId="0" applyNumberFormat="1" applyFill="1" applyBorder="1"/>
    <xf numFmtId="164" fontId="0" fillId="0" borderId="2" xfId="2" applyNumberFormat="1" applyFont="1" applyFill="1" applyBorder="1"/>
    <xf numFmtId="164" fontId="0" fillId="0" borderId="16" xfId="0" applyNumberFormat="1" applyFill="1" applyBorder="1"/>
    <xf numFmtId="164" fontId="0" fillId="0" borderId="27" xfId="0" applyNumberFormat="1" applyFill="1" applyBorder="1"/>
    <xf numFmtId="164" fontId="0" fillId="0" borderId="41" xfId="0" applyNumberFormat="1" applyFill="1" applyBorder="1"/>
    <xf numFmtId="164" fontId="2" fillId="0" borderId="27" xfId="0" applyNumberFormat="1" applyFont="1" applyFill="1" applyBorder="1"/>
    <xf numFmtId="164" fontId="2" fillId="0" borderId="16" xfId="0" applyNumberFormat="1" applyFont="1" applyFill="1" applyBorder="1"/>
    <xf numFmtId="0" fontId="0" fillId="0" borderId="26" xfId="0" applyFill="1" applyBorder="1"/>
    <xf numFmtId="0" fontId="0" fillId="0" borderId="11" xfId="0" applyFill="1" applyBorder="1"/>
    <xf numFmtId="0" fontId="2" fillId="0" borderId="2" xfId="0" applyFont="1" applyFill="1" applyBorder="1"/>
    <xf numFmtId="164" fontId="0" fillId="0" borderId="11" xfId="2" applyNumberFormat="1" applyFont="1" applyFill="1" applyBorder="1"/>
    <xf numFmtId="165" fontId="0" fillId="0" borderId="2" xfId="1" applyNumberFormat="1" applyFont="1" applyFill="1" applyBorder="1"/>
    <xf numFmtId="164" fontId="2" fillId="0" borderId="38" xfId="2" applyNumberFormat="1" applyFont="1" applyFill="1" applyBorder="1"/>
    <xf numFmtId="164" fontId="2" fillId="0" borderId="39" xfId="0" applyNumberFormat="1" applyFont="1" applyFill="1" applyBorder="1"/>
    <xf numFmtId="164" fontId="0" fillId="0" borderId="0" xfId="0" applyNumberFormat="1" applyFill="1"/>
    <xf numFmtId="164" fontId="2" fillId="0" borderId="30" xfId="2" applyNumberFormat="1" applyFont="1" applyFill="1" applyBorder="1"/>
    <xf numFmtId="165" fontId="2" fillId="0" borderId="23" xfId="1" applyNumberFormat="1" applyFont="1" applyFill="1" applyBorder="1"/>
    <xf numFmtId="0" fontId="7" fillId="0" borderId="0" xfId="0" applyFont="1" applyFill="1" applyBorder="1"/>
    <xf numFmtId="164" fontId="1" fillId="0" borderId="2" xfId="2" applyNumberFormat="1" applyFont="1" applyFill="1" applyBorder="1"/>
    <xf numFmtId="0" fontId="2" fillId="0" borderId="21" xfId="0" applyFont="1" applyFill="1" applyBorder="1" applyAlignment="1">
      <alignment horizontal="center" wrapText="1"/>
    </xf>
    <xf numFmtId="164" fontId="0" fillId="0" borderId="30" xfId="2" applyNumberFormat="1" applyFont="1" applyFill="1" applyBorder="1"/>
    <xf numFmtId="164" fontId="2" fillId="0" borderId="6" xfId="2" applyNumberFormat="1" applyFont="1" applyFill="1" applyBorder="1"/>
    <xf numFmtId="164" fontId="2" fillId="0" borderId="12" xfId="2" applyNumberFormat="1" applyFont="1" applyFill="1" applyBorder="1"/>
    <xf numFmtId="164" fontId="0" fillId="6" borderId="0" xfId="2" applyNumberFormat="1" applyFont="1" applyFill="1" applyBorder="1"/>
    <xf numFmtId="0" fontId="0" fillId="0" borderId="0" xfId="0"/>
    <xf numFmtId="0" fontId="14" fillId="0" borderId="0" xfId="0" applyNumberFormat="1" applyFont="1"/>
    <xf numFmtId="0" fontId="0" fillId="0" borderId="0" xfId="0" applyNumberFormat="1"/>
    <xf numFmtId="49" fontId="1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6" fontId="15" fillId="0" borderId="0" xfId="0" applyNumberFormat="1" applyFont="1" applyBorder="1"/>
    <xf numFmtId="166" fontId="15" fillId="0" borderId="0" xfId="0" applyNumberFormat="1" applyFont="1"/>
    <xf numFmtId="0" fontId="0" fillId="0" borderId="2" xfId="0" applyFont="1" applyBorder="1"/>
    <xf numFmtId="164" fontId="0" fillId="0" borderId="21" xfId="2" applyNumberFormat="1" applyFont="1" applyFill="1" applyBorder="1"/>
    <xf numFmtId="0" fontId="12" fillId="6" borderId="0" xfId="0" applyFont="1" applyFill="1" applyBorder="1"/>
    <xf numFmtId="165" fontId="12" fillId="6" borderId="0" xfId="1" applyNumberFormat="1" applyFont="1" applyFill="1" applyBorder="1"/>
    <xf numFmtId="0" fontId="10" fillId="4" borderId="0" xfId="0" applyFont="1" applyFill="1" applyBorder="1"/>
    <xf numFmtId="0" fontId="12" fillId="4" borderId="0" xfId="0" applyFont="1" applyFill="1" applyBorder="1"/>
    <xf numFmtId="165" fontId="10" fillId="4" borderId="0" xfId="1" applyNumberFormat="1" applyFont="1" applyFill="1" applyBorder="1"/>
    <xf numFmtId="165" fontId="10" fillId="4" borderId="0" xfId="0" applyNumberFormat="1" applyFont="1" applyFill="1" applyBorder="1"/>
    <xf numFmtId="0" fontId="0" fillId="4" borderId="0" xfId="0" applyFill="1"/>
    <xf numFmtId="164" fontId="0" fillId="4" borderId="0" xfId="0" applyNumberFormat="1" applyFill="1"/>
    <xf numFmtId="0" fontId="0" fillId="0" borderId="20" xfId="0" applyBorder="1"/>
    <xf numFmtId="0" fontId="0" fillId="0" borderId="21" xfId="0" applyBorder="1"/>
    <xf numFmtId="164" fontId="0" fillId="0" borderId="4" xfId="0" applyNumberFormat="1" applyBorder="1"/>
    <xf numFmtId="164" fontId="0" fillId="5" borderId="4" xfId="0" applyNumberFormat="1" applyFill="1" applyBorder="1"/>
    <xf numFmtId="0" fontId="0" fillId="0" borderId="8" xfId="0" applyBorder="1"/>
    <xf numFmtId="164" fontId="0" fillId="4" borderId="4" xfId="0" applyNumberFormat="1" applyFill="1" applyBorder="1"/>
    <xf numFmtId="49" fontId="14" fillId="0" borderId="0" xfId="0" applyNumberFormat="1" applyFont="1"/>
    <xf numFmtId="43" fontId="2" fillId="2" borderId="0" xfId="1" applyNumberFormat="1" applyFont="1" applyFill="1" applyBorder="1"/>
    <xf numFmtId="164" fontId="0" fillId="4" borderId="11" xfId="2" applyNumberFormat="1" applyFont="1" applyFill="1" applyBorder="1"/>
    <xf numFmtId="0" fontId="0" fillId="12" borderId="0" xfId="0" applyFill="1" applyBorder="1"/>
    <xf numFmtId="0" fontId="12" fillId="0" borderId="0" xfId="0" applyFont="1" applyFill="1" applyBorder="1"/>
    <xf numFmtId="0" fontId="12" fillId="13" borderId="0" xfId="0" applyFont="1" applyFill="1" applyBorder="1"/>
    <xf numFmtId="164" fontId="12" fillId="13" borderId="0" xfId="2" applyNumberFormat="1" applyFont="1" applyFill="1" applyBorder="1"/>
    <xf numFmtId="40" fontId="16" fillId="0" borderId="43" xfId="0" applyNumberFormat="1" applyFont="1" applyBorder="1"/>
    <xf numFmtId="164" fontId="0" fillId="0" borderId="0" xfId="2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21" fillId="2" borderId="0" xfId="2" applyNumberFormat="1" applyFont="1" applyFill="1" applyBorder="1"/>
    <xf numFmtId="164" fontId="0" fillId="16" borderId="3" xfId="0" applyNumberFormat="1" applyFill="1" applyBorder="1"/>
    <xf numFmtId="49" fontId="22" fillId="0" borderId="0" xfId="0" applyNumberFormat="1" applyFont="1"/>
    <xf numFmtId="49" fontId="23" fillId="0" borderId="0" xfId="0" applyNumberFormat="1" applyFont="1" applyAlignment="1">
      <alignment horizontal="right"/>
    </xf>
    <xf numFmtId="49" fontId="24" fillId="0" borderId="0" xfId="0" applyNumberFormat="1" applyFont="1"/>
    <xf numFmtId="169" fontId="23" fillId="0" borderId="0" xfId="0" applyNumberFormat="1" applyFont="1" applyAlignment="1">
      <alignment horizontal="right"/>
    </xf>
    <xf numFmtId="49" fontId="25" fillId="0" borderId="0" xfId="0" applyNumberFormat="1" applyFont="1"/>
    <xf numFmtId="0" fontId="2" fillId="0" borderId="0" xfId="0" applyFont="1" applyAlignment="1">
      <alignment horizontal="center"/>
    </xf>
    <xf numFmtId="4" fontId="0" fillId="0" borderId="7" xfId="0" applyNumberFormat="1" applyBorder="1"/>
    <xf numFmtId="165" fontId="0" fillId="16" borderId="0" xfId="1" applyNumberFormat="1" applyFont="1" applyFill="1" applyBorder="1"/>
    <xf numFmtId="164" fontId="0" fillId="16" borderId="22" xfId="2" applyNumberFormat="1" applyFont="1" applyFill="1" applyBorder="1"/>
    <xf numFmtId="164" fontId="0" fillId="16" borderId="0" xfId="2" applyNumberFormat="1" applyFont="1" applyFill="1" applyBorder="1"/>
    <xf numFmtId="164" fontId="0" fillId="16" borderId="12" xfId="0" applyNumberFormat="1" applyFill="1" applyBorder="1"/>
    <xf numFmtId="0" fontId="13" fillId="0" borderId="0" xfId="0" applyFont="1"/>
    <xf numFmtId="164" fontId="0" fillId="0" borderId="37" xfId="2" applyNumberFormat="1" applyFont="1" applyFill="1" applyBorder="1"/>
    <xf numFmtId="164" fontId="0" fillId="0" borderId="16" xfId="2" applyNumberFormat="1" applyFont="1" applyFill="1" applyBorder="1"/>
    <xf numFmtId="4" fontId="0" fillId="0" borderId="0" xfId="0" applyNumberFormat="1" applyBorder="1"/>
    <xf numFmtId="0" fontId="26" fillId="2" borderId="0" xfId="0" applyFont="1" applyFill="1" applyBorder="1"/>
    <xf numFmtId="165" fontId="1" fillId="0" borderId="11" xfId="1" applyNumberFormat="1" applyFont="1" applyFill="1" applyBorder="1"/>
    <xf numFmtId="44" fontId="0" fillId="2" borderId="11" xfId="2" applyFont="1" applyFill="1" applyBorder="1"/>
    <xf numFmtId="0" fontId="2" fillId="0" borderId="0" xfId="0" applyFont="1" applyFill="1"/>
    <xf numFmtId="164" fontId="0" fillId="18" borderId="11" xfId="2" applyNumberFormat="1" applyFont="1" applyFill="1" applyBorder="1"/>
    <xf numFmtId="164" fontId="0" fillId="0" borderId="37" xfId="0" applyNumberFormat="1" applyFill="1" applyBorder="1"/>
    <xf numFmtId="49" fontId="0" fillId="15" borderId="0" xfId="0" applyNumberFormat="1" applyFill="1"/>
    <xf numFmtId="49" fontId="0" fillId="0" borderId="0" xfId="0" applyNumberFormat="1" applyFill="1"/>
    <xf numFmtId="0" fontId="2" fillId="14" borderId="0" xfId="0" applyFont="1" applyFill="1" applyAlignment="1">
      <alignment horizontal="center"/>
    </xf>
    <xf numFmtId="0" fontId="0" fillId="14" borderId="0" xfId="0" applyFill="1"/>
    <xf numFmtId="166" fontId="0" fillId="14" borderId="0" xfId="0" applyNumberFormat="1" applyFill="1"/>
    <xf numFmtId="0" fontId="2" fillId="15" borderId="0" xfId="0" applyFont="1" applyFill="1" applyAlignment="1">
      <alignment horizontal="center"/>
    </xf>
    <xf numFmtId="0" fontId="0" fillId="15" borderId="0" xfId="0" applyFill="1"/>
    <xf numFmtId="4" fontId="0" fillId="15" borderId="0" xfId="0" applyNumberFormat="1" applyFill="1"/>
    <xf numFmtId="165" fontId="0" fillId="17" borderId="0" xfId="1" applyNumberFormat="1" applyFont="1" applyFill="1" applyBorder="1"/>
    <xf numFmtId="164" fontId="2" fillId="17" borderId="0" xfId="0" applyNumberFormat="1" applyFont="1" applyFill="1" applyBorder="1"/>
    <xf numFmtId="164" fontId="2" fillId="17" borderId="7" xfId="0" applyNumberFormat="1" applyFont="1" applyFill="1" applyBorder="1"/>
    <xf numFmtId="164" fontId="0" fillId="17" borderId="5" xfId="0" applyNumberFormat="1" applyFill="1" applyBorder="1"/>
    <xf numFmtId="164" fontId="0" fillId="17" borderId="12" xfId="0" applyNumberFormat="1" applyFill="1" applyBorder="1"/>
    <xf numFmtId="0" fontId="2" fillId="0" borderId="2" xfId="0" applyFont="1" applyBorder="1" applyAlignment="1">
      <alignment horizontal="center"/>
    </xf>
    <xf numFmtId="4" fontId="0" fillId="0" borderId="4" xfId="0" applyNumberFormat="1" applyBorder="1"/>
    <xf numFmtId="4" fontId="0" fillId="0" borderId="8" xfId="0" applyNumberFormat="1" applyBorder="1"/>
    <xf numFmtId="0" fontId="13" fillId="0" borderId="2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4" fontId="0" fillId="0" borderId="2" xfId="0" applyNumberFormat="1" applyBorder="1"/>
    <xf numFmtId="4" fontId="0" fillId="0" borderId="6" xfId="0" applyNumberFormat="1" applyBorder="1"/>
    <xf numFmtId="165" fontId="0" fillId="0" borderId="0" xfId="0" applyNumberFormat="1"/>
    <xf numFmtId="40" fontId="15" fillId="0" borderId="44" xfId="0" applyNumberFormat="1" applyFont="1" applyBorder="1"/>
    <xf numFmtId="40" fontId="17" fillId="0" borderId="44" xfId="0" applyNumberFormat="1" applyFont="1" applyBorder="1"/>
    <xf numFmtId="4" fontId="0" fillId="0" borderId="4" xfId="0" applyNumberFormat="1" applyFill="1" applyBorder="1"/>
    <xf numFmtId="4" fontId="0" fillId="5" borderId="2" xfId="0" applyNumberFormat="1" applyFill="1" applyBorder="1"/>
    <xf numFmtId="4" fontId="0" fillId="5" borderId="0" xfId="0" applyNumberFormat="1" applyFill="1" applyBorder="1"/>
    <xf numFmtId="4" fontId="0" fillId="5" borderId="4" xfId="0" applyNumberFormat="1" applyFill="1" applyBorder="1"/>
    <xf numFmtId="0" fontId="0" fillId="0" borderId="20" xfId="0" applyBorder="1" applyAlignment="1">
      <alignment horizontal="center"/>
    </xf>
    <xf numFmtId="0" fontId="2" fillId="7" borderId="21" xfId="0" applyFont="1" applyFill="1" applyBorder="1" applyAlignment="1">
      <alignment horizontal="center"/>
    </xf>
    <xf numFmtId="0" fontId="2" fillId="10" borderId="2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wrapText="1"/>
    </xf>
    <xf numFmtId="40" fontId="15" fillId="0" borderId="7" xfId="0" applyNumberFormat="1" applyFont="1" applyFill="1" applyBorder="1"/>
    <xf numFmtId="40" fontId="14" fillId="0" borderId="0" xfId="0" applyNumberFormat="1" applyFont="1" applyFill="1" applyBorder="1"/>
    <xf numFmtId="40" fontId="15" fillId="0" borderId="0" xfId="0" applyNumberFormat="1" applyFont="1" applyFill="1" applyBorder="1"/>
    <xf numFmtId="166" fontId="17" fillId="0" borderId="26" xfId="1" applyNumberFormat="1" applyFont="1" applyFill="1" applyBorder="1"/>
    <xf numFmtId="40" fontId="14" fillId="0" borderId="7" xfId="0" applyNumberFormat="1" applyFont="1" applyFill="1" applyBorder="1"/>
    <xf numFmtId="40" fontId="16" fillId="0" borderId="43" xfId="0" applyNumberFormat="1" applyFont="1" applyFill="1" applyBorder="1"/>
    <xf numFmtId="40" fontId="17" fillId="0" borderId="0" xfId="0" applyNumberFormat="1" applyFont="1" applyFill="1"/>
    <xf numFmtId="49" fontId="0" fillId="19" borderId="0" xfId="0" applyNumberFormat="1" applyFill="1"/>
    <xf numFmtId="4" fontId="0" fillId="0" borderId="45" xfId="0" applyNumberFormat="1" applyBorder="1"/>
    <xf numFmtId="4" fontId="0" fillId="0" borderId="46" xfId="0" applyNumberFormat="1" applyBorder="1"/>
    <xf numFmtId="4" fontId="0" fillId="0" borderId="47" xfId="0" applyNumberFormat="1" applyBorder="1"/>
    <xf numFmtId="4" fontId="0" fillId="0" borderId="48" xfId="0" applyNumberFormat="1" applyFill="1" applyBorder="1"/>
    <xf numFmtId="4" fontId="0" fillId="5" borderId="46" xfId="0" applyNumberFormat="1" applyFill="1" applyBorder="1"/>
    <xf numFmtId="4" fontId="0" fillId="5" borderId="47" xfId="0" applyNumberFormat="1" applyFill="1" applyBorder="1"/>
    <xf numFmtId="4" fontId="0" fillId="5" borderId="48" xfId="0" applyNumberFormat="1" applyFill="1" applyBorder="1"/>
    <xf numFmtId="4" fontId="0" fillId="0" borderId="30" xfId="0" applyNumberFormat="1" applyBorder="1"/>
    <xf numFmtId="4" fontId="0" fillId="0" borderId="22" xfId="0" applyNumberFormat="1" applyBorder="1"/>
    <xf numFmtId="4" fontId="0" fillId="0" borderId="33" xfId="0" applyNumberFormat="1" applyBorder="1"/>
    <xf numFmtId="0" fontId="2" fillId="7" borderId="21" xfId="0" applyFont="1" applyFill="1" applyBorder="1" applyAlignment="1">
      <alignment horizontal="center"/>
    </xf>
    <xf numFmtId="0" fontId="2" fillId="10" borderId="21" xfId="0" applyFont="1" applyFill="1" applyBorder="1" applyAlignment="1">
      <alignment horizontal="center"/>
    </xf>
    <xf numFmtId="49" fontId="0" fillId="20" borderId="0" xfId="0" applyNumberFormat="1" applyFill="1" applyBorder="1" applyAlignment="1">
      <alignment horizontal="centerContinuous"/>
    </xf>
    <xf numFmtId="49" fontId="14" fillId="20" borderId="0" xfId="0" applyNumberFormat="1" applyFont="1" applyFill="1" applyBorder="1" applyAlignment="1">
      <alignment horizontal="centerContinuous"/>
    </xf>
    <xf numFmtId="49" fontId="0" fillId="20" borderId="34" xfId="0" applyNumberFormat="1" applyFill="1" applyBorder="1" applyAlignment="1">
      <alignment horizontal="centerContinuous"/>
    </xf>
    <xf numFmtId="49" fontId="14" fillId="20" borderId="35" xfId="0" applyNumberFormat="1" applyFont="1" applyFill="1" applyBorder="1" applyAlignment="1">
      <alignment horizontal="center"/>
    </xf>
    <xf numFmtId="49" fontId="0" fillId="20" borderId="0" xfId="0" applyNumberFormat="1" applyFill="1" applyAlignment="1">
      <alignment horizontal="center"/>
    </xf>
    <xf numFmtId="166" fontId="15" fillId="20" borderId="0" xfId="0" applyNumberFormat="1" applyFont="1" applyFill="1"/>
    <xf numFmtId="49" fontId="15" fillId="20" borderId="0" xfId="0" applyNumberFormat="1" applyFont="1" applyFill="1"/>
    <xf numFmtId="166" fontId="15" fillId="20" borderId="7" xfId="0" applyNumberFormat="1" applyFont="1" applyFill="1" applyBorder="1"/>
    <xf numFmtId="166" fontId="15" fillId="20" borderId="0" xfId="0" applyNumberFormat="1" applyFont="1" applyFill="1" applyBorder="1"/>
    <xf numFmtId="166" fontId="15" fillId="20" borderId="18" xfId="0" applyNumberFormat="1" applyFont="1" applyFill="1" applyBorder="1"/>
    <xf numFmtId="166" fontId="15" fillId="20" borderId="21" xfId="0" applyNumberFormat="1" applyFont="1" applyFill="1" applyBorder="1"/>
    <xf numFmtId="166" fontId="14" fillId="20" borderId="36" xfId="0" applyNumberFormat="1" applyFont="1" applyFill="1" applyBorder="1"/>
    <xf numFmtId="49" fontId="14" fillId="20" borderId="0" xfId="0" applyNumberFormat="1" applyFont="1" applyFill="1"/>
    <xf numFmtId="49" fontId="0" fillId="20" borderId="0" xfId="0" applyNumberFormat="1" applyFill="1"/>
    <xf numFmtId="49" fontId="14" fillId="19" borderId="0" xfId="0" applyNumberFormat="1" applyFont="1" applyFill="1" applyBorder="1" applyAlignment="1">
      <alignment horizontal="centerContinuous"/>
    </xf>
    <xf numFmtId="49" fontId="0" fillId="19" borderId="0" xfId="0" applyNumberFormat="1" applyFill="1" applyBorder="1" applyAlignment="1">
      <alignment horizontal="centerContinuous"/>
    </xf>
    <xf numFmtId="49" fontId="0" fillId="19" borderId="34" xfId="0" applyNumberFormat="1" applyFill="1" applyBorder="1" applyAlignment="1">
      <alignment horizontal="centerContinuous"/>
    </xf>
    <xf numFmtId="49" fontId="14" fillId="19" borderId="35" xfId="0" applyNumberFormat="1" applyFont="1" applyFill="1" applyBorder="1" applyAlignment="1">
      <alignment horizontal="center"/>
    </xf>
    <xf numFmtId="49" fontId="0" fillId="19" borderId="0" xfId="0" applyNumberFormat="1" applyFill="1" applyAlignment="1">
      <alignment horizontal="center"/>
    </xf>
    <xf numFmtId="166" fontId="15" fillId="19" borderId="0" xfId="0" applyNumberFormat="1" applyFont="1" applyFill="1"/>
    <xf numFmtId="49" fontId="15" fillId="19" borderId="0" xfId="0" applyNumberFormat="1" applyFont="1" applyFill="1"/>
    <xf numFmtId="166" fontId="15" fillId="19" borderId="7" xfId="0" applyNumberFormat="1" applyFont="1" applyFill="1" applyBorder="1"/>
    <xf numFmtId="166" fontId="15" fillId="19" borderId="0" xfId="0" applyNumberFormat="1" applyFont="1" applyFill="1" applyBorder="1"/>
    <xf numFmtId="166" fontId="15" fillId="19" borderId="18" xfId="0" applyNumberFormat="1" applyFont="1" applyFill="1" applyBorder="1"/>
    <xf numFmtId="166" fontId="15" fillId="19" borderId="21" xfId="0" applyNumberFormat="1" applyFont="1" applyFill="1" applyBorder="1"/>
    <xf numFmtId="166" fontId="14" fillId="19" borderId="36" xfId="0" applyNumberFormat="1" applyFont="1" applyFill="1" applyBorder="1"/>
    <xf numFmtId="49" fontId="14" fillId="19" borderId="0" xfId="0" applyNumberFormat="1" applyFont="1" applyFill="1"/>
    <xf numFmtId="44" fontId="0" fillId="10" borderId="0" xfId="0" applyNumberFormat="1" applyFill="1" applyBorder="1"/>
    <xf numFmtId="164" fontId="2" fillId="10" borderId="0" xfId="0" applyNumberFormat="1" applyFont="1" applyFill="1" applyBorder="1"/>
    <xf numFmtId="0" fontId="2" fillId="10" borderId="0" xfId="0" applyFont="1" applyFill="1" applyBorder="1"/>
    <xf numFmtId="164" fontId="0" fillId="10" borderId="0" xfId="0" applyNumberFormat="1" applyFill="1" applyBorder="1"/>
    <xf numFmtId="0" fontId="0" fillId="10" borderId="0" xfId="0" applyFill="1" applyBorder="1"/>
    <xf numFmtId="44" fontId="0" fillId="10" borderId="0" xfId="0" applyNumberFormat="1" applyFill="1"/>
    <xf numFmtId="164" fontId="0" fillId="2" borderId="21" xfId="2" applyNumberFormat="1" applyFont="1" applyFill="1" applyBorder="1"/>
    <xf numFmtId="168" fontId="11" fillId="2" borderId="0" xfId="1" applyNumberFormat="1" applyFont="1" applyFill="1" applyBorder="1"/>
    <xf numFmtId="0" fontId="12" fillId="2" borderId="0" xfId="0" applyFont="1" applyFill="1"/>
    <xf numFmtId="165" fontId="12" fillId="2" borderId="0" xfId="0" applyNumberFormat="1" applyFont="1" applyFill="1"/>
    <xf numFmtId="165" fontId="11" fillId="2" borderId="0" xfId="1" applyNumberFormat="1" applyFont="1" applyFill="1" applyBorder="1"/>
    <xf numFmtId="0" fontId="12" fillId="2" borderId="0" xfId="0" applyFont="1" applyFill="1" applyBorder="1"/>
    <xf numFmtId="165" fontId="0" fillId="2" borderId="0" xfId="0" applyNumberFormat="1" applyFill="1" applyBorder="1"/>
    <xf numFmtId="164" fontId="2" fillId="2" borderId="24" xfId="2" applyNumberFormat="1" applyFont="1" applyFill="1" applyBorder="1"/>
    <xf numFmtId="164" fontId="2" fillId="2" borderId="28" xfId="2" applyNumberFormat="1" applyFont="1" applyFill="1" applyBorder="1"/>
    <xf numFmtId="0" fontId="2" fillId="7" borderId="21" xfId="0" applyFont="1" applyFill="1" applyBorder="1" applyAlignment="1">
      <alignment horizontal="center"/>
    </xf>
    <xf numFmtId="0" fontId="2" fillId="10" borderId="21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wrapText="1"/>
    </xf>
    <xf numFmtId="0" fontId="14" fillId="0" borderId="0" xfId="0" applyNumberFormat="1" applyFont="1" applyAlignment="1">
      <alignment horizontal="center"/>
    </xf>
    <xf numFmtId="0" fontId="14" fillId="0" borderId="11" xfId="0" applyNumberFormat="1" applyFont="1" applyBorder="1" applyAlignment="1">
      <alignment horizontal="center"/>
    </xf>
    <xf numFmtId="44" fontId="0" fillId="0" borderId="0" xfId="0" applyNumberFormat="1" applyFill="1" applyBorder="1"/>
    <xf numFmtId="172" fontId="0" fillId="2" borderId="0" xfId="1" applyNumberFormat="1" applyFont="1" applyFill="1" applyBorder="1"/>
    <xf numFmtId="43" fontId="2" fillId="0" borderId="0" xfId="1" applyNumberFormat="1" applyFont="1" applyFill="1" applyBorder="1"/>
  </cellXfs>
  <cellStyles count="67">
    <cellStyle name="Comma" xfId="1" builtinId="3"/>
    <cellStyle name="Comma 2" xfId="17"/>
    <cellStyle name="Comma 2 2" xfId="22"/>
    <cellStyle name="Comma 2 2 2" xfId="23"/>
    <cellStyle name="Comma 2 3" xfId="24"/>
    <cellStyle name="Comma 3" xfId="19"/>
    <cellStyle name="Comma 4" xfId="4"/>
    <cellStyle name="Comma 5" xfId="12"/>
    <cellStyle name="Comma 5 2" xfId="14"/>
    <cellStyle name="Currency" xfId="2" builtinId="4"/>
    <cellStyle name="Currency 2" xfId="5"/>
    <cellStyle name="Currency 3" xfId="6"/>
    <cellStyle name="Currency 3 2" xfId="7"/>
    <cellStyle name="Currency 4" xfId="25"/>
    <cellStyle name="Currency 5" xfId="26"/>
    <cellStyle name="Currency 6" xfId="11"/>
    <cellStyle name="Currency 6 2" xfId="13"/>
    <cellStyle name="Normal" xfId="0" builtinId="0"/>
    <cellStyle name="Normal 10" xfId="27"/>
    <cellStyle name="Normal 10 2" xfId="28"/>
    <cellStyle name="Normal 11" xfId="29"/>
    <cellStyle name="Normal 11 2" xfId="30"/>
    <cellStyle name="Normal 12" xfId="31"/>
    <cellStyle name="Normal 12 2" xfId="32"/>
    <cellStyle name="Normal 13" xfId="33"/>
    <cellStyle name="Normal 13 2" xfId="34"/>
    <cellStyle name="Normal 14" xfId="35"/>
    <cellStyle name="Normal 14 2" xfId="36"/>
    <cellStyle name="Normal 15" xfId="37"/>
    <cellStyle name="Normal 15 2" xfId="38"/>
    <cellStyle name="Normal 16" xfId="39"/>
    <cellStyle name="Normal 16 2" xfId="40"/>
    <cellStyle name="Normal 17" xfId="41"/>
    <cellStyle name="Normal 17 2" xfId="42"/>
    <cellStyle name="Normal 18" xfId="43"/>
    <cellStyle name="Normal 18 2" xfId="44"/>
    <cellStyle name="Normal 19" xfId="45"/>
    <cellStyle name="Normal 19 2" xfId="46"/>
    <cellStyle name="Normal 2" xfId="8"/>
    <cellStyle name="Normal 2 2" xfId="47"/>
    <cellStyle name="Normal 20" xfId="16"/>
    <cellStyle name="Normal 20 2" xfId="48"/>
    <cellStyle name="Normal 20 2 2" xfId="49"/>
    <cellStyle name="Normal 20 3" xfId="50"/>
    <cellStyle name="Normal 21" xfId="51"/>
    <cellStyle name="Normal 22" xfId="52"/>
    <cellStyle name="Normal 23" xfId="10"/>
    <cellStyle name="Normal 23 2" xfId="9"/>
    <cellStyle name="Normal 24" xfId="53"/>
    <cellStyle name="Normal 3" xfId="15"/>
    <cellStyle name="Normal 3 2" xfId="54"/>
    <cellStyle name="Normal 4" xfId="20"/>
    <cellStyle name="Normal 4 2" xfId="55"/>
    <cellStyle name="Normal 5" xfId="56"/>
    <cellStyle name="Normal 5 2" xfId="57"/>
    <cellStyle name="Normal 6" xfId="58"/>
    <cellStyle name="Normal 6 2" xfId="59"/>
    <cellStyle name="Normal 7" xfId="60"/>
    <cellStyle name="Normal 7 2" xfId="61"/>
    <cellStyle name="Normal 8" xfId="62"/>
    <cellStyle name="Normal 8 2" xfId="63"/>
    <cellStyle name="Normal 9" xfId="64"/>
    <cellStyle name="Normal 9 2" xfId="65"/>
    <cellStyle name="Percent" xfId="3" builtinId="5"/>
    <cellStyle name="Percent 2" xfId="18"/>
    <cellStyle name="Percent 3" xfId="21"/>
    <cellStyle name="Percent 3 2" xfId="66"/>
  </cellStyles>
  <dxfs count="0"/>
  <tableStyles count="0" defaultTableStyle="TableStyleMedium2" defaultPivotStyle="PivotStyleLight16"/>
  <colors>
    <mruColors>
      <color rgb="FFE507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'LWVC-Stmt of Fin. Postn. by Mth'!$H$1:$AD$1</c:f>
              <c:strCache>
                <c:ptCount val="23"/>
                <c:pt idx="0">
                  <c:v>Jun 30, 19</c:v>
                </c:pt>
                <c:pt idx="2">
                  <c:v>Jul 31, 19</c:v>
                </c:pt>
                <c:pt idx="4">
                  <c:v>Aug 31, 19</c:v>
                </c:pt>
                <c:pt idx="6">
                  <c:v>Sep 30, 19</c:v>
                </c:pt>
                <c:pt idx="8">
                  <c:v>Oct 31, 19</c:v>
                </c:pt>
                <c:pt idx="10">
                  <c:v>Nov 30, 19</c:v>
                </c:pt>
                <c:pt idx="12">
                  <c:v>Dec 31, 19</c:v>
                </c:pt>
                <c:pt idx="14">
                  <c:v>Jan 31, 20</c:v>
                </c:pt>
                <c:pt idx="16">
                  <c:v>Feb 29, 20</c:v>
                </c:pt>
                <c:pt idx="18">
                  <c:v>Mar 31, 20</c:v>
                </c:pt>
                <c:pt idx="20">
                  <c:v>Apr 30, 20</c:v>
                </c:pt>
                <c:pt idx="22">
                  <c:v>May 31, 20</c:v>
                </c:pt>
              </c:strCache>
            </c:strRef>
          </c:cat>
          <c:val>
            <c:numRef>
              <c:f>'LWVC-Stmt of Fin. Postn. by Mth'!$H$14:$AD$14</c:f>
              <c:numCache>
                <c:formatCode>@</c:formatCode>
                <c:ptCount val="23"/>
                <c:pt idx="0" formatCode="#,##0.00;\-#,##0.00">
                  <c:v>194806.54</c:v>
                </c:pt>
                <c:pt idx="2" formatCode="#,##0.00;\-#,##0.00">
                  <c:v>184736.3</c:v>
                </c:pt>
                <c:pt idx="4" formatCode="#,##0.00;\-#,##0.00">
                  <c:v>163200.28</c:v>
                </c:pt>
                <c:pt idx="6" formatCode="#,##0.00;\-#,##0.00">
                  <c:v>123135.28</c:v>
                </c:pt>
                <c:pt idx="8" formatCode="#,##0.00;\-#,##0.00">
                  <c:v>194555.61</c:v>
                </c:pt>
                <c:pt idx="10" formatCode="#,##0.00;\-#,##0.00">
                  <c:v>169247.95</c:v>
                </c:pt>
                <c:pt idx="12" formatCode="#,##0.00;\-#,##0.00">
                  <c:v>142142.29999999999</c:v>
                </c:pt>
                <c:pt idx="14" formatCode="#,##0.00;\-#,##0.00">
                  <c:v>132114.75</c:v>
                </c:pt>
                <c:pt idx="16" formatCode="#,##0.00;\-#,##0.00">
                  <c:v>63432.800000000003</c:v>
                </c:pt>
                <c:pt idx="18" formatCode="#,##0.00;\-#,##0.00">
                  <c:v>110748.04</c:v>
                </c:pt>
                <c:pt idx="20" formatCode="#,##0.00;\-#,##0.00">
                  <c:v>102434.31</c:v>
                </c:pt>
                <c:pt idx="22" formatCode="#,##0.00;\-#,##0.00">
                  <c:v>143680.98000000001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BF-4378-9F8D-6AD9B9AEE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907840"/>
        <c:axId val="249913728"/>
      </c:barChart>
      <c:catAx>
        <c:axId val="249907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49913728"/>
        <c:crosses val="autoZero"/>
        <c:auto val="1"/>
        <c:lblAlgn val="ctr"/>
        <c:lblOffset val="100"/>
        <c:noMultiLvlLbl val="0"/>
      </c:catAx>
      <c:valAx>
        <c:axId val="249913728"/>
        <c:scaling>
          <c:orientation val="minMax"/>
        </c:scaling>
        <c:delete val="0"/>
        <c:axPos val="l"/>
        <c:majorGridlines/>
        <c:numFmt formatCode="#,##0.00;\-#,##0.00" sourceLinked="1"/>
        <c:majorTickMark val="out"/>
        <c:minorTickMark val="none"/>
        <c:tickLblPos val="nextTo"/>
        <c:crossAx val="249907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'LWVCEF-Stmt of Fin. Pos. by mth'!$H$1:$AD$1</c:f>
              <c:strCache>
                <c:ptCount val="23"/>
                <c:pt idx="0">
                  <c:v>Jun 30, 19</c:v>
                </c:pt>
                <c:pt idx="2">
                  <c:v>Jul 31, 19</c:v>
                </c:pt>
                <c:pt idx="4">
                  <c:v>Aug 31, 19</c:v>
                </c:pt>
                <c:pt idx="6">
                  <c:v>Sep 30, 19</c:v>
                </c:pt>
                <c:pt idx="8">
                  <c:v>Oct 31, 19</c:v>
                </c:pt>
                <c:pt idx="10">
                  <c:v>Nov 30, 19</c:v>
                </c:pt>
                <c:pt idx="12">
                  <c:v>Dec 31, 19</c:v>
                </c:pt>
                <c:pt idx="14">
                  <c:v>Jan 31, 20</c:v>
                </c:pt>
                <c:pt idx="16">
                  <c:v>Feb 29, 20</c:v>
                </c:pt>
                <c:pt idx="18">
                  <c:v>Mar 31, 20</c:v>
                </c:pt>
                <c:pt idx="20">
                  <c:v>Apr 30, 20</c:v>
                </c:pt>
                <c:pt idx="22">
                  <c:v>May 31, 20</c:v>
                </c:pt>
              </c:strCache>
            </c:strRef>
          </c:cat>
          <c:val>
            <c:numRef>
              <c:f>'LWVCEF-Stmt of Fin. Pos. by mth'!$H$16:$AD$16</c:f>
              <c:numCache>
                <c:formatCode>@</c:formatCode>
                <c:ptCount val="23"/>
                <c:pt idx="0" formatCode="#,##0.00;\-#,##0.00">
                  <c:v>342243.33</c:v>
                </c:pt>
                <c:pt idx="2" formatCode="#,##0.00;\-#,##0.00">
                  <c:v>379088.62</c:v>
                </c:pt>
                <c:pt idx="4" formatCode="#,##0.00;\-#,##0.00">
                  <c:v>396616</c:v>
                </c:pt>
                <c:pt idx="6" formatCode="#,##0.00;\-#,##0.00">
                  <c:v>397132.94</c:v>
                </c:pt>
                <c:pt idx="8" formatCode="#,##0.00;\-#,##0.00">
                  <c:v>299766.45</c:v>
                </c:pt>
                <c:pt idx="10" formatCode="#,##0.00;\-#,##0.00">
                  <c:v>301814.75</c:v>
                </c:pt>
                <c:pt idx="12" formatCode="#,##0.00;\-#,##0.00">
                  <c:v>345249.6</c:v>
                </c:pt>
                <c:pt idx="14" formatCode="#,##0.00;\-#,##0.00">
                  <c:v>405859.82</c:v>
                </c:pt>
                <c:pt idx="16" formatCode="#,##0.00;\-#,##0.00">
                  <c:v>434410.36</c:v>
                </c:pt>
                <c:pt idx="18" formatCode="#,##0.00;\-#,##0.00">
                  <c:v>378079.12</c:v>
                </c:pt>
                <c:pt idx="20" formatCode="#,##0.00;\-#,##0.00">
                  <c:v>480454.38</c:v>
                </c:pt>
                <c:pt idx="22" formatCode="#,##0.00;\-#,##0.00">
                  <c:v>430409.78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D2-46D8-82BD-8EC7C67BE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835904"/>
        <c:axId val="249837440"/>
      </c:barChart>
      <c:catAx>
        <c:axId val="24983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49837440"/>
        <c:crosses val="autoZero"/>
        <c:auto val="1"/>
        <c:lblAlgn val="ctr"/>
        <c:lblOffset val="100"/>
        <c:noMultiLvlLbl val="0"/>
      </c:catAx>
      <c:valAx>
        <c:axId val="249837440"/>
        <c:scaling>
          <c:orientation val="minMax"/>
        </c:scaling>
        <c:delete val="0"/>
        <c:axPos val="l"/>
        <c:majorGridlines/>
        <c:numFmt formatCode="#,##0.00;\-#,##0.00" sourceLinked="1"/>
        <c:majorTickMark val="out"/>
        <c:minorTickMark val="none"/>
        <c:tickLblPos val="nextTo"/>
        <c:crossAx val="249835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94685039370081"/>
          <c:y val="5.3635483210810325E-2"/>
          <c:w val="0.86227537182852143"/>
          <c:h val="0.6661383075924703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'LWVCEF-Stmt of Fin. Pos. by mth'!$H$1:$AD$1</c:f>
              <c:strCache>
                <c:ptCount val="23"/>
                <c:pt idx="0">
                  <c:v>Jun 30, 19</c:v>
                </c:pt>
                <c:pt idx="2">
                  <c:v>Jul 31, 19</c:v>
                </c:pt>
                <c:pt idx="4">
                  <c:v>Aug 31, 19</c:v>
                </c:pt>
                <c:pt idx="6">
                  <c:v>Sep 30, 19</c:v>
                </c:pt>
                <c:pt idx="8">
                  <c:v>Oct 31, 19</c:v>
                </c:pt>
                <c:pt idx="10">
                  <c:v>Nov 30, 19</c:v>
                </c:pt>
                <c:pt idx="12">
                  <c:v>Dec 31, 19</c:v>
                </c:pt>
                <c:pt idx="14">
                  <c:v>Jan 31, 20</c:v>
                </c:pt>
                <c:pt idx="16">
                  <c:v>Feb 29, 20</c:v>
                </c:pt>
                <c:pt idx="18">
                  <c:v>Mar 31, 20</c:v>
                </c:pt>
                <c:pt idx="20">
                  <c:v>Apr 30, 20</c:v>
                </c:pt>
                <c:pt idx="22">
                  <c:v>May 31, 20</c:v>
                </c:pt>
              </c:strCache>
            </c:strRef>
          </c:cat>
          <c:val>
            <c:numRef>
              <c:f>'LWVCEF-Stmt of Fin. Pos. by mth'!$H$76:$AD$76</c:f>
              <c:numCache>
                <c:formatCode>@</c:formatCode>
                <c:ptCount val="23"/>
                <c:pt idx="0" formatCode="#,##0.00;\-#,##0.00">
                  <c:v>91922.4</c:v>
                </c:pt>
                <c:pt idx="2" formatCode="#,##0.00;\-#,##0.00">
                  <c:v>96037.65</c:v>
                </c:pt>
                <c:pt idx="4" formatCode="#,##0.00;\-#,##0.00">
                  <c:v>113021.77</c:v>
                </c:pt>
                <c:pt idx="6" formatCode="#,##0.00;\-#,##0.00">
                  <c:v>92940.75</c:v>
                </c:pt>
                <c:pt idx="8" formatCode="#,##0.00;\-#,##0.00">
                  <c:v>97647.25</c:v>
                </c:pt>
                <c:pt idx="10" formatCode="#,##0.00;\-#,##0.00">
                  <c:v>99415.62</c:v>
                </c:pt>
                <c:pt idx="12" formatCode="#,##0.00;\-#,##0.00">
                  <c:v>102736.09</c:v>
                </c:pt>
                <c:pt idx="14" formatCode="#,##0.00;\-#,##0.00">
                  <c:v>104354.26</c:v>
                </c:pt>
                <c:pt idx="16" formatCode="#,##0.00;\-#,##0.00">
                  <c:v>114764.26</c:v>
                </c:pt>
                <c:pt idx="18" formatCode="#,##0.00;\-#,##0.00">
                  <c:v>121644.26</c:v>
                </c:pt>
                <c:pt idx="20" formatCode="#,##0.00;\-#,##0.00">
                  <c:v>121813.48</c:v>
                </c:pt>
                <c:pt idx="22" formatCode="#,##0.00;\-#,##0.00">
                  <c:v>126224.73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C6-48A7-B68D-162C49F2A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870208"/>
        <c:axId val="249871744"/>
      </c:barChart>
      <c:catAx>
        <c:axId val="249870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49871744"/>
        <c:crosses val="autoZero"/>
        <c:auto val="1"/>
        <c:lblAlgn val="ctr"/>
        <c:lblOffset val="100"/>
        <c:noMultiLvlLbl val="0"/>
      </c:catAx>
      <c:valAx>
        <c:axId val="249871744"/>
        <c:scaling>
          <c:orientation val="minMax"/>
        </c:scaling>
        <c:delete val="0"/>
        <c:axPos val="l"/>
        <c:majorGridlines/>
        <c:numFmt formatCode="#,##0.00;\-#,##0.00" sourceLinked="1"/>
        <c:majorTickMark val="out"/>
        <c:minorTickMark val="none"/>
        <c:tickLblPos val="nextTo"/>
        <c:crossAx val="249870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38100</xdr:rowOff>
    </xdr:to>
    <xdr:sp macro="" textlink="">
      <xdr:nvSpPr>
        <xdr:cNvPr id="6145" name="FILTER" hidden="1">
          <a:extLst>
            <a:ext uri="{63B3BB69-23CF-44E3-9099-C40C66FF867C}">
              <a14:compatExt xmlns:a14="http://schemas.microsoft.com/office/drawing/2010/main" spid="_x0000_s6145"/>
            </a:ext>
            <a:ext uri="{FF2B5EF4-FFF2-40B4-BE49-F238E27FC236}">
              <a16:creationId xmlns="" xmlns:a16="http://schemas.microsoft.com/office/drawing/2014/main" id="{00000000-0008-0000-0200-000001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38100</xdr:rowOff>
    </xdr:to>
    <xdr:sp macro="" textlink="">
      <xdr:nvSpPr>
        <xdr:cNvPr id="6146" name="HEADER" hidden="1">
          <a:extLst>
            <a:ext uri="{63B3BB69-23CF-44E3-9099-C40C66FF867C}">
              <a14:compatExt xmlns:a14="http://schemas.microsoft.com/office/drawing/2010/main" spid="_x0000_s6146"/>
            </a:ext>
            <a:ext uri="{FF2B5EF4-FFF2-40B4-BE49-F238E27FC236}">
              <a16:creationId xmlns="" xmlns:a16="http://schemas.microsoft.com/office/drawing/2014/main" id="{00000000-0008-0000-0200-000002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28575</xdr:rowOff>
    </xdr:to>
    <xdr:sp macro="" textlink="">
      <xdr:nvSpPr>
        <xdr:cNvPr id="50177" name="FILTER" hidden="1">
          <a:extLst>
            <a:ext uri="{63B3BB69-23CF-44E3-9099-C40C66FF867C}">
              <a14:compatExt xmlns:a14="http://schemas.microsoft.com/office/drawing/2010/main" spid="_x0000_s50177"/>
            </a:ext>
            <a:ext uri="{FF2B5EF4-FFF2-40B4-BE49-F238E27FC236}">
              <a16:creationId xmlns="" xmlns:a16="http://schemas.microsoft.com/office/drawing/2014/main" id="{00000000-0008-0000-0300-000001C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28575</xdr:rowOff>
    </xdr:to>
    <xdr:sp macro="" textlink="">
      <xdr:nvSpPr>
        <xdr:cNvPr id="50178" name="HEADER" hidden="1">
          <a:extLst>
            <a:ext uri="{63B3BB69-23CF-44E3-9099-C40C66FF867C}">
              <a14:compatExt xmlns:a14="http://schemas.microsoft.com/office/drawing/2010/main" spid="_x0000_s50178"/>
            </a:ext>
            <a:ext uri="{FF2B5EF4-FFF2-40B4-BE49-F238E27FC236}">
              <a16:creationId xmlns="" xmlns:a16="http://schemas.microsoft.com/office/drawing/2014/main" id="{00000000-0008-0000-0300-000002C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28575</xdr:rowOff>
    </xdr:to>
    <xdr:sp macro="" textlink="">
      <xdr:nvSpPr>
        <xdr:cNvPr id="41985" name="FILTER" hidden="1">
          <a:extLst>
            <a:ext uri="{63B3BB69-23CF-44E3-9099-C40C66FF867C}">
              <a14:compatExt xmlns:a14="http://schemas.microsoft.com/office/drawing/2010/main" spid="_x0000_s41985"/>
            </a:ext>
            <a:ext uri="{FF2B5EF4-FFF2-40B4-BE49-F238E27FC236}">
              <a16:creationId xmlns="" xmlns:a16="http://schemas.microsoft.com/office/drawing/2014/main" id="{00000000-0008-0000-0400-000001A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28575</xdr:rowOff>
    </xdr:to>
    <xdr:sp macro="" textlink="">
      <xdr:nvSpPr>
        <xdr:cNvPr id="41986" name="HEADER" hidden="1">
          <a:extLst>
            <a:ext uri="{63B3BB69-23CF-44E3-9099-C40C66FF867C}">
              <a14:compatExt xmlns:a14="http://schemas.microsoft.com/office/drawing/2010/main" spid="_x0000_s41986"/>
            </a:ext>
            <a:ext uri="{FF2B5EF4-FFF2-40B4-BE49-F238E27FC236}">
              <a16:creationId xmlns="" xmlns:a16="http://schemas.microsoft.com/office/drawing/2014/main" id="{00000000-0008-0000-0400-000002A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538161</xdr:colOff>
      <xdr:row>5</xdr:row>
      <xdr:rowOff>104780</xdr:rowOff>
    </xdr:from>
    <xdr:to>
      <xdr:col>38</xdr:col>
      <xdr:colOff>419099</xdr:colOff>
      <xdr:row>21</xdr:row>
      <xdr:rowOff>76199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28575</xdr:rowOff>
    </xdr:to>
    <xdr:sp macro="" textlink="">
      <xdr:nvSpPr>
        <xdr:cNvPr id="64513" name="FILTER" hidden="1">
          <a:extLst>
            <a:ext uri="{63B3BB69-23CF-44E3-9099-C40C66FF867C}">
              <a14:compatExt xmlns:a14="http://schemas.microsoft.com/office/drawing/2010/main" spid="_x0000_s64513"/>
            </a:ext>
            <a:ext uri="{FF2B5EF4-FFF2-40B4-BE49-F238E27FC236}">
              <a16:creationId xmlns="" xmlns:a16="http://schemas.microsoft.com/office/drawing/2014/main" id="{00000000-0008-0000-0800-000001F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28575</xdr:rowOff>
    </xdr:to>
    <xdr:sp macro="" textlink="">
      <xdr:nvSpPr>
        <xdr:cNvPr id="64514" name="HEADER" hidden="1">
          <a:extLst>
            <a:ext uri="{63B3BB69-23CF-44E3-9099-C40C66FF867C}">
              <a14:compatExt xmlns:a14="http://schemas.microsoft.com/office/drawing/2010/main" spid="_x0000_s64514"/>
            </a:ext>
            <a:ext uri="{FF2B5EF4-FFF2-40B4-BE49-F238E27FC236}">
              <a16:creationId xmlns="" xmlns:a16="http://schemas.microsoft.com/office/drawing/2014/main" id="{00000000-0008-0000-0800-000002F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28575</xdr:rowOff>
    </xdr:to>
    <xdr:sp macro="" textlink="">
      <xdr:nvSpPr>
        <xdr:cNvPr id="44033" name="FILTER" hidden="1">
          <a:extLst>
            <a:ext uri="{63B3BB69-23CF-44E3-9099-C40C66FF867C}">
              <a14:compatExt xmlns:a14="http://schemas.microsoft.com/office/drawing/2010/main" spid="_x0000_s44033"/>
            </a:ext>
            <a:ext uri="{FF2B5EF4-FFF2-40B4-BE49-F238E27FC236}">
              <a16:creationId xmlns="" xmlns:a16="http://schemas.microsoft.com/office/drawing/2014/main" id="{00000000-0008-0000-0900-000001A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28575</xdr:rowOff>
    </xdr:to>
    <xdr:sp macro="" textlink="">
      <xdr:nvSpPr>
        <xdr:cNvPr id="44034" name="HEADER" hidden="1">
          <a:extLst>
            <a:ext uri="{63B3BB69-23CF-44E3-9099-C40C66FF867C}">
              <a14:compatExt xmlns:a14="http://schemas.microsoft.com/office/drawing/2010/main" spid="_x0000_s44034"/>
            </a:ext>
            <a:ext uri="{FF2B5EF4-FFF2-40B4-BE49-F238E27FC236}">
              <a16:creationId xmlns="" xmlns:a16="http://schemas.microsoft.com/office/drawing/2014/main" id="{00000000-0008-0000-0900-000002A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428625</xdr:colOff>
      <xdr:row>7</xdr:row>
      <xdr:rowOff>85731</xdr:rowOff>
    </xdr:from>
    <xdr:to>
      <xdr:col>38</xdr:col>
      <xdr:colOff>123825</xdr:colOff>
      <xdr:row>22</xdr:row>
      <xdr:rowOff>133356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257175</xdr:colOff>
      <xdr:row>66</xdr:row>
      <xdr:rowOff>38106</xdr:rowOff>
    </xdr:from>
    <xdr:to>
      <xdr:col>39</xdr:col>
      <xdr:colOff>561975</xdr:colOff>
      <xdr:row>80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114300</xdr:colOff>
      <xdr:row>0</xdr:row>
      <xdr:rowOff>228600</xdr:rowOff>
    </xdr:to>
    <xdr:sp macro="" textlink="">
      <xdr:nvSpPr>
        <xdr:cNvPr id="51201" name="FILTER" hidden="1">
          <a:extLst>
            <a:ext uri="{63B3BB69-23CF-44E3-9099-C40C66FF867C}">
              <a14:compatExt xmlns:a14="http://schemas.microsoft.com/office/drawing/2010/main" spid="_x0000_s51201"/>
            </a:ext>
            <a:ext uri="{FF2B5EF4-FFF2-40B4-BE49-F238E27FC236}">
              <a16:creationId xmlns="" xmlns:a16="http://schemas.microsoft.com/office/drawing/2014/main" id="{00000000-0008-0000-0A00-000001C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114300</xdr:colOff>
      <xdr:row>0</xdr:row>
      <xdr:rowOff>228600</xdr:rowOff>
    </xdr:to>
    <xdr:sp macro="" textlink="">
      <xdr:nvSpPr>
        <xdr:cNvPr id="51202" name="HEADER" hidden="1">
          <a:extLst>
            <a:ext uri="{63B3BB69-23CF-44E3-9099-C40C66FF867C}">
              <a14:compatExt xmlns:a14="http://schemas.microsoft.com/office/drawing/2010/main" spid="_x0000_s51202"/>
            </a:ext>
            <a:ext uri="{FF2B5EF4-FFF2-40B4-BE49-F238E27FC236}">
              <a16:creationId xmlns="" xmlns:a16="http://schemas.microsoft.com/office/drawing/2014/main" id="{00000000-0008-0000-0A00-000002C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nrestricted%20net%20income%205.31.20%20_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SB117"/>
      <sheetName val="YTD Summary Stmt of Actv."/>
      <sheetName val="Unrestricted Net Assets byClass"/>
      <sheetName val="Restricted Net Assets by Class"/>
    </sheetNames>
    <sheetDataSet>
      <sheetData sheetId="0" refreshError="1"/>
      <sheetData sheetId="1">
        <row r="7">
          <cell r="AB7">
            <v>132972.28999999998</v>
          </cell>
        </row>
        <row r="15">
          <cell r="V15">
            <v>47269.030000000021</v>
          </cell>
          <cell r="AB15">
            <v>190160.55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Q94"/>
  <sheetViews>
    <sheetView tabSelected="1" topLeftCell="I43" zoomScale="110" zoomScaleNormal="110" zoomScalePageLayoutView="90" workbookViewId="0">
      <selection activeCell="X62" sqref="X62"/>
    </sheetView>
  </sheetViews>
  <sheetFormatPr defaultColWidth="8.85546875" defaultRowHeight="15" x14ac:dyDescent="0.25"/>
  <cols>
    <col min="1" max="1" width="34.28515625" style="462" customWidth="1"/>
    <col min="2" max="2" width="14.7109375" style="462" customWidth="1"/>
    <col min="3" max="3" width="13.85546875" style="462" hidden="1" customWidth="1"/>
    <col min="4" max="4" width="14.85546875" style="462" hidden="1" customWidth="1"/>
    <col min="5" max="5" width="13.7109375" style="462" customWidth="1"/>
    <col min="6" max="6" width="16" style="462" customWidth="1"/>
    <col min="7" max="7" width="1.7109375" style="462" customWidth="1"/>
    <col min="8" max="8" width="34" style="462" customWidth="1"/>
    <col min="9" max="9" width="15.7109375" style="462" customWidth="1"/>
    <col min="10" max="10" width="13.7109375" style="462" hidden="1" customWidth="1"/>
    <col min="11" max="11" width="14.28515625" style="462" hidden="1" customWidth="1"/>
    <col min="12" max="12" width="17.7109375" style="462" customWidth="1"/>
    <col min="13" max="13" width="16.7109375" style="462" customWidth="1"/>
    <col min="14" max="14" width="1.5703125" style="401" customWidth="1"/>
    <col min="15" max="15" width="33.7109375" style="401" customWidth="1"/>
    <col min="16" max="16" width="15.140625" style="401" customWidth="1"/>
    <col min="17" max="17" width="14" style="462" hidden="1" customWidth="1"/>
    <col min="18" max="18" width="14.5703125" style="462" hidden="1" customWidth="1"/>
    <col min="19" max="19" width="14.140625" style="401" customWidth="1"/>
    <col min="20" max="20" width="15.28515625" style="401" customWidth="1"/>
    <col min="21" max="21" width="10.5703125" style="401" bestFit="1" customWidth="1"/>
    <col min="22" max="22" width="11.7109375" style="401" customWidth="1"/>
    <col min="23" max="23" width="13" style="401" customWidth="1"/>
    <col min="24" max="43" width="8.85546875" style="401"/>
    <col min="44" max="16384" width="8.85546875" style="462"/>
  </cols>
  <sheetData>
    <row r="1" spans="1:43" ht="18.75" x14ac:dyDescent="0.3">
      <c r="A1" s="4" t="s">
        <v>522</v>
      </c>
      <c r="B1" s="6"/>
      <c r="C1" s="5"/>
      <c r="D1" s="5"/>
      <c r="E1" s="6"/>
      <c r="F1" s="6"/>
      <c r="G1" s="6"/>
      <c r="H1" s="6"/>
      <c r="I1" s="6"/>
      <c r="J1" s="5"/>
      <c r="K1" s="5"/>
      <c r="L1" s="6"/>
      <c r="M1" s="6"/>
      <c r="N1" s="7"/>
      <c r="O1" s="7"/>
      <c r="P1" s="7"/>
      <c r="Q1" s="5"/>
      <c r="R1" s="5"/>
      <c r="S1" s="7"/>
    </row>
    <row r="2" spans="1:43" ht="30" customHeight="1" thickBot="1" x14ac:dyDescent="0.35">
      <c r="A2" s="8" t="s">
        <v>0</v>
      </c>
      <c r="B2" s="516"/>
      <c r="C2" s="8"/>
      <c r="D2" s="8"/>
      <c r="E2" s="41"/>
      <c r="F2" s="6"/>
      <c r="G2" s="7"/>
      <c r="H2" s="8" t="s">
        <v>1</v>
      </c>
      <c r="I2" s="3"/>
      <c r="J2" s="8"/>
      <c r="K2" s="8"/>
      <c r="L2" s="6"/>
      <c r="M2" s="6"/>
      <c r="N2" s="7"/>
      <c r="O2" s="10" t="s">
        <v>2</v>
      </c>
      <c r="P2" s="7"/>
      <c r="Q2" s="8"/>
      <c r="R2" s="8"/>
      <c r="S2" s="7"/>
    </row>
    <row r="3" spans="1:43" s="3" customFormat="1" ht="45.75" thickBot="1" x14ac:dyDescent="0.3">
      <c r="A3" s="11"/>
      <c r="B3" s="13" t="s">
        <v>521</v>
      </c>
      <c r="C3" s="12" t="s">
        <v>3</v>
      </c>
      <c r="D3" s="373" t="s">
        <v>4</v>
      </c>
      <c r="E3" s="13" t="s">
        <v>5</v>
      </c>
      <c r="F3" s="14" t="s">
        <v>6</v>
      </c>
      <c r="G3" s="16"/>
      <c r="H3" s="42"/>
      <c r="I3" s="13" t="s">
        <v>521</v>
      </c>
      <c r="J3" s="43" t="s">
        <v>3</v>
      </c>
      <c r="K3" s="373" t="s">
        <v>4</v>
      </c>
      <c r="L3" s="44" t="s">
        <v>5</v>
      </c>
      <c r="M3" s="14" t="s">
        <v>6</v>
      </c>
      <c r="N3" s="17"/>
      <c r="O3" s="42"/>
      <c r="P3" s="44" t="s">
        <v>521</v>
      </c>
      <c r="Q3" s="43" t="s">
        <v>3</v>
      </c>
      <c r="R3" s="373" t="s">
        <v>4</v>
      </c>
      <c r="S3" s="357" t="s">
        <v>5</v>
      </c>
      <c r="T3" s="14" t="s">
        <v>6</v>
      </c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 s="3" customFormat="1" x14ac:dyDescent="0.25">
      <c r="A4" s="18" t="s">
        <v>7</v>
      </c>
      <c r="B4" s="510">
        <f>'LWVCEF-Stmt.of Act. By Class'!BA33</f>
        <v>199191</v>
      </c>
      <c r="C4" s="88">
        <v>189261.31999999998</v>
      </c>
      <c r="D4" s="398">
        <f>B4-C4</f>
        <v>9929.6800000000221</v>
      </c>
      <c r="E4" s="603">
        <v>261420</v>
      </c>
      <c r="F4" s="19">
        <f>B4-E4</f>
        <v>-62229</v>
      </c>
      <c r="G4" s="20"/>
      <c r="H4" s="18" t="s">
        <v>8</v>
      </c>
      <c r="I4" s="510">
        <f>'LWVCEF-Stmt.of Act. By Class'!BB33</f>
        <v>149218.1</v>
      </c>
      <c r="J4" s="88">
        <v>112810.07</v>
      </c>
      <c r="K4" s="19">
        <f>I4-J4</f>
        <v>36408.03</v>
      </c>
      <c r="L4" s="88">
        <v>383750</v>
      </c>
      <c r="M4" s="103">
        <f>I4-L4</f>
        <v>-234531.9</v>
      </c>
      <c r="N4" s="25"/>
      <c r="O4" s="18" t="s">
        <v>8</v>
      </c>
      <c r="P4" s="367">
        <f>I4+B4</f>
        <v>348409.1</v>
      </c>
      <c r="Q4" s="88">
        <f>J4+C4</f>
        <v>302071.39</v>
      </c>
      <c r="R4" s="398">
        <f>P4-Q4</f>
        <v>46337.709999999963</v>
      </c>
      <c r="S4" s="88">
        <f>L4+E4</f>
        <v>645170</v>
      </c>
      <c r="T4" s="360">
        <f>P4-S4</f>
        <v>-296760.90000000002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s="3" customFormat="1" x14ac:dyDescent="0.25">
      <c r="A5" s="21"/>
      <c r="B5" s="448"/>
      <c r="C5" s="63"/>
      <c r="D5" s="84"/>
      <c r="E5" s="22"/>
      <c r="F5" s="46"/>
      <c r="G5" s="20"/>
      <c r="H5" s="21"/>
      <c r="I5" s="446"/>
      <c r="J5" s="65"/>
      <c r="K5" s="50"/>
      <c r="L5" s="7"/>
      <c r="M5" s="50"/>
      <c r="N5" s="25"/>
      <c r="O5" s="21"/>
      <c r="P5" s="368"/>
      <c r="Q5" s="63"/>
      <c r="R5" s="84"/>
      <c r="S5" s="63"/>
      <c r="T5" s="361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s="3" customFormat="1" ht="15.75" thickBot="1" x14ac:dyDescent="0.3">
      <c r="A6" s="32" t="s">
        <v>9</v>
      </c>
      <c r="B6" s="511">
        <f>B5+B4</f>
        <v>199191</v>
      </c>
      <c r="C6" s="64">
        <v>189361.31999999998</v>
      </c>
      <c r="D6" s="48">
        <f>B6-C6</f>
        <v>9829.6800000000221</v>
      </c>
      <c r="E6" s="27">
        <f>+E5+E4</f>
        <v>261420</v>
      </c>
      <c r="F6" s="48">
        <f>B6-E6</f>
        <v>-62229</v>
      </c>
      <c r="G6" s="20"/>
      <c r="H6" s="32" t="s">
        <v>9</v>
      </c>
      <c r="I6" s="511">
        <f>I5+I4</f>
        <v>149218.1</v>
      </c>
      <c r="J6" s="64">
        <v>112810.07</v>
      </c>
      <c r="K6" s="48">
        <f>I6-J6</f>
        <v>36408.03</v>
      </c>
      <c r="L6" s="27">
        <f>+L5+L4</f>
        <v>383750</v>
      </c>
      <c r="M6" s="48">
        <f>I6-L6</f>
        <v>-234531.9</v>
      </c>
      <c r="N6" s="25"/>
      <c r="O6" s="32" t="s">
        <v>9</v>
      </c>
      <c r="P6" s="375">
        <f>SUM(P4:P5)</f>
        <v>348409.1</v>
      </c>
      <c r="Q6" s="64">
        <f>SUM(Q4:Q5)</f>
        <v>302071.39</v>
      </c>
      <c r="R6" s="363">
        <f>P6-Q6</f>
        <v>46337.709999999963</v>
      </c>
      <c r="S6" s="97">
        <f>SUM(S4:S5)</f>
        <v>645170</v>
      </c>
      <c r="T6" s="362">
        <f>P6-S6</f>
        <v>-296760.90000000002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s="3" customFormat="1" ht="15.75" thickTop="1" x14ac:dyDescent="0.25">
      <c r="A7" s="21" t="s">
        <v>10</v>
      </c>
      <c r="B7" s="448">
        <f>'LWVCEF-Stmt.of Act. By Class'!BA50</f>
        <v>277867.26</v>
      </c>
      <c r="C7" s="63">
        <v>128014.72216437501</v>
      </c>
      <c r="D7" s="46">
        <f>B7-C7</f>
        <v>149852.537835625</v>
      </c>
      <c r="E7" s="22">
        <v>206908</v>
      </c>
      <c r="F7" s="46">
        <f>+B7-E7</f>
        <v>70959.260000000009</v>
      </c>
      <c r="G7" s="20"/>
      <c r="H7" s="21" t="s">
        <v>10</v>
      </c>
      <c r="I7" s="448">
        <f>'LWVCEF-Stmt.of Act. By Class'!BB50</f>
        <v>132972.28999999998</v>
      </c>
      <c r="J7" s="63">
        <v>340436.71502671874</v>
      </c>
      <c r="K7" s="46">
        <f>I7-J7</f>
        <v>-207464.42502671876</v>
      </c>
      <c r="L7" s="63">
        <v>412828</v>
      </c>
      <c r="M7" s="46">
        <f>I7-L7</f>
        <v>-279855.71000000002</v>
      </c>
      <c r="N7" s="25"/>
      <c r="O7" s="21" t="s">
        <v>10</v>
      </c>
      <c r="P7" s="368">
        <f>B7+I7</f>
        <v>410839.55</v>
      </c>
      <c r="Q7" s="63">
        <f>+J7+C7</f>
        <v>468451.43719109375</v>
      </c>
      <c r="R7" s="84">
        <f>P7-Q7</f>
        <v>-57611.88719109376</v>
      </c>
      <c r="S7" s="434">
        <f>+L7+E7</f>
        <v>619736</v>
      </c>
      <c r="T7" s="84">
        <f>P7-S7</f>
        <v>-208896.45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</row>
    <row r="8" spans="1:43" s="3" customFormat="1" x14ac:dyDescent="0.25">
      <c r="A8" s="21" t="s">
        <v>11</v>
      </c>
      <c r="B8" s="448">
        <v>0</v>
      </c>
      <c r="C8" s="63"/>
      <c r="D8" s="46"/>
      <c r="E8" s="22"/>
      <c r="F8" s="46"/>
      <c r="G8" s="20"/>
      <c r="H8" s="21"/>
      <c r="I8" s="368"/>
      <c r="J8" s="63"/>
      <c r="K8" s="46"/>
      <c r="L8" s="22"/>
      <c r="M8" s="46"/>
      <c r="N8" s="25"/>
      <c r="O8" s="21" t="s">
        <v>11</v>
      </c>
      <c r="P8" s="448">
        <f>B8</f>
        <v>0</v>
      </c>
      <c r="Q8" s="63"/>
      <c r="R8" s="84"/>
      <c r="S8" s="22"/>
      <c r="T8" s="84">
        <f>P8-S8</f>
        <v>0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1:43" s="3" customFormat="1" x14ac:dyDescent="0.25">
      <c r="A9" s="21" t="s">
        <v>12</v>
      </c>
      <c r="B9" s="487">
        <f>-18000</f>
        <v>-18000</v>
      </c>
      <c r="C9" s="63">
        <v>40300</v>
      </c>
      <c r="D9" s="46">
        <f>B9-C9</f>
        <v>-58300</v>
      </c>
      <c r="E9" s="22">
        <v>12589</v>
      </c>
      <c r="F9" s="46">
        <f>+B9-E9</f>
        <v>-30589</v>
      </c>
      <c r="G9" s="20"/>
      <c r="H9" s="21" t="s">
        <v>13</v>
      </c>
      <c r="I9" s="395">
        <f>+B9*-1</f>
        <v>18000</v>
      </c>
      <c r="J9" s="96">
        <v>-40300</v>
      </c>
      <c r="K9" s="84">
        <f>I9-J9</f>
        <v>58300</v>
      </c>
      <c r="L9" s="22">
        <v>-12589</v>
      </c>
      <c r="M9" s="24">
        <f>+I9-L9</f>
        <v>30589</v>
      </c>
      <c r="N9" s="25"/>
      <c r="O9" s="21" t="s">
        <v>14</v>
      </c>
      <c r="P9" s="74">
        <f>+B9+I9</f>
        <v>0</v>
      </c>
      <c r="Q9" s="65"/>
      <c r="R9" s="50"/>
      <c r="S9" s="22">
        <v>0</v>
      </c>
      <c r="T9" s="80">
        <f>+P9-S9</f>
        <v>0</v>
      </c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 spans="1:43" s="3" customFormat="1" ht="15.75" thickBot="1" x14ac:dyDescent="0.3">
      <c r="A10" s="21" t="s">
        <v>15</v>
      </c>
      <c r="B10" s="511">
        <f>B6-B7-B9</f>
        <v>-60676.260000000009</v>
      </c>
      <c r="C10" s="64">
        <v>21046.597835624969</v>
      </c>
      <c r="D10" s="48">
        <f>D4+D9+D5</f>
        <v>-48370.319999999978</v>
      </c>
      <c r="E10" s="64">
        <f>+E6-E7-E9</f>
        <v>41923</v>
      </c>
      <c r="F10" s="48">
        <f>+F6-F7-F9</f>
        <v>-102599.26000000001</v>
      </c>
      <c r="G10" s="20"/>
      <c r="H10" s="21" t="s">
        <v>15</v>
      </c>
      <c r="I10" s="102">
        <f>+I6-I7-I9</f>
        <v>-1754.1899999999732</v>
      </c>
      <c r="J10" s="64">
        <v>-187326.64502671873</v>
      </c>
      <c r="K10" s="48">
        <f>SUM(K4:K7)</f>
        <v>-134648.36502671876</v>
      </c>
      <c r="L10" s="64">
        <f>+L6-L7-L9</f>
        <v>-16489</v>
      </c>
      <c r="M10" s="48">
        <f>M4-M7-M9</f>
        <v>14734.810000000027</v>
      </c>
      <c r="N10" s="25"/>
      <c r="O10" s="21" t="s">
        <v>15</v>
      </c>
      <c r="P10" s="102">
        <f>+P6-P7-P9+P8</f>
        <v>-62430.450000000012</v>
      </c>
      <c r="Q10" s="64">
        <f>Q4-Q7+Q5</f>
        <v>-166380.04719109373</v>
      </c>
      <c r="R10" s="48">
        <f>R4+R7</f>
        <v>-11274.177191093797</v>
      </c>
      <c r="S10" s="64">
        <f>+S6-S7-S9</f>
        <v>25434</v>
      </c>
      <c r="T10" s="363">
        <f>+P10-S10</f>
        <v>-87864.450000000012</v>
      </c>
      <c r="U10" s="60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</row>
    <row r="11" spans="1:43" s="3" customFormat="1" ht="15.75" thickTop="1" x14ac:dyDescent="0.25">
      <c r="A11" s="21"/>
      <c r="B11" s="369"/>
      <c r="C11" s="65"/>
      <c r="D11" s="50"/>
      <c r="E11" s="65"/>
      <c r="F11" s="50"/>
      <c r="G11" s="20"/>
      <c r="H11" s="21"/>
      <c r="I11" s="370"/>
      <c r="J11" s="65"/>
      <c r="K11" s="50"/>
      <c r="L11" s="94"/>
      <c r="M11" s="49"/>
      <c r="N11" s="25"/>
      <c r="O11" s="21"/>
      <c r="P11" s="370"/>
      <c r="Q11" s="65"/>
      <c r="R11" s="50"/>
      <c r="S11" s="94"/>
      <c r="T11" s="364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</row>
    <row r="12" spans="1:43" s="3" customFormat="1" x14ac:dyDescent="0.25">
      <c r="A12" s="21" t="s">
        <v>16</v>
      </c>
      <c r="B12" s="370">
        <f>E12</f>
        <v>47269</v>
      </c>
      <c r="C12" s="392">
        <v>82373</v>
      </c>
      <c r="D12" s="50"/>
      <c r="E12" s="94">
        <v>47269</v>
      </c>
      <c r="F12" s="49">
        <f>B12-E12</f>
        <v>0</v>
      </c>
      <c r="G12" s="20"/>
      <c r="H12" s="21" t="s">
        <v>16</v>
      </c>
      <c r="I12" s="368">
        <f>L12</f>
        <v>190161</v>
      </c>
      <c r="J12" s="392">
        <v>304654.87999999995</v>
      </c>
      <c r="K12" s="24">
        <f>L12-J12</f>
        <v>-114493.87999999995</v>
      </c>
      <c r="L12" s="63">
        <v>190161</v>
      </c>
      <c r="M12" s="46">
        <f>I12-L12</f>
        <v>0</v>
      </c>
      <c r="N12" s="25"/>
      <c r="O12" s="21" t="s">
        <v>16</v>
      </c>
      <c r="P12" s="368">
        <f>I12+B12</f>
        <v>237430</v>
      </c>
      <c r="Q12" s="392">
        <f>S12</f>
        <v>237430</v>
      </c>
      <c r="R12" s="24">
        <f>Q12-S12</f>
        <v>0</v>
      </c>
      <c r="S12" s="63">
        <f>+L12+E12</f>
        <v>237430</v>
      </c>
      <c r="T12" s="361">
        <f>P12-S12</f>
        <v>0</v>
      </c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3" spans="1:43" s="3" customFormat="1" ht="15.75" thickBot="1" x14ac:dyDescent="0.3">
      <c r="A13" s="21" t="s">
        <v>17</v>
      </c>
      <c r="B13" s="511">
        <f>B12+B10</f>
        <v>-13407.260000000009</v>
      </c>
      <c r="C13" s="95">
        <v>103419.59783562497</v>
      </c>
      <c r="D13" s="48">
        <f>B13-C13</f>
        <v>-116826.85783562498</v>
      </c>
      <c r="E13" s="64">
        <f>E12+E10</f>
        <v>89192</v>
      </c>
      <c r="F13" s="48">
        <f>B13-E13</f>
        <v>-102599.26000000001</v>
      </c>
      <c r="G13" s="20"/>
      <c r="H13" s="21" t="s">
        <v>17</v>
      </c>
      <c r="I13" s="47">
        <f>I12+I10</f>
        <v>188406.81000000003</v>
      </c>
      <c r="J13" s="95">
        <v>117328.23497328121</v>
      </c>
      <c r="K13" s="356">
        <f>I13-J13</f>
        <v>71078.575026718812</v>
      </c>
      <c r="L13" s="95">
        <f>L12+L10</f>
        <v>173672</v>
      </c>
      <c r="M13" s="356">
        <f>M12+M10</f>
        <v>14734.810000000027</v>
      </c>
      <c r="N13" s="25"/>
      <c r="O13" s="21" t="s">
        <v>17</v>
      </c>
      <c r="P13" s="47">
        <f>P12+P10</f>
        <v>174999.55</v>
      </c>
      <c r="Q13" s="95">
        <f>Q12+Q10</f>
        <v>71049.952808906266</v>
      </c>
      <c r="R13" s="356">
        <f>P13-Q13</f>
        <v>103949.59719109372</v>
      </c>
      <c r="S13" s="95">
        <f>S12+S10</f>
        <v>262864</v>
      </c>
      <c r="T13" s="81">
        <f>P13-S13</f>
        <v>-87864.450000000012</v>
      </c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</row>
    <row r="14" spans="1:43" s="3" customFormat="1" ht="15.75" thickTop="1" x14ac:dyDescent="0.25">
      <c r="A14" s="21"/>
      <c r="B14" s="369"/>
      <c r="C14" s="65"/>
      <c r="D14" s="50"/>
      <c r="E14" s="65"/>
      <c r="F14" s="50"/>
      <c r="G14" s="20"/>
      <c r="H14" s="21"/>
      <c r="I14" s="369"/>
      <c r="J14" s="65"/>
      <c r="K14" s="50"/>
      <c r="L14" s="65"/>
      <c r="M14" s="50"/>
      <c r="N14" s="25"/>
      <c r="O14" s="21"/>
      <c r="P14" s="369"/>
      <c r="Q14" s="65"/>
      <c r="R14" s="50"/>
      <c r="S14" s="65"/>
      <c r="T14" s="138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</row>
    <row r="15" spans="1:43" s="3" customFormat="1" x14ac:dyDescent="0.25">
      <c r="A15" s="32" t="s">
        <v>18</v>
      </c>
      <c r="B15" s="369"/>
      <c r="C15" s="65"/>
      <c r="D15" s="50"/>
      <c r="E15" s="65"/>
      <c r="F15" s="50"/>
      <c r="G15" s="7"/>
      <c r="H15" s="32" t="s">
        <v>18</v>
      </c>
      <c r="I15" s="368"/>
      <c r="J15" s="65"/>
      <c r="K15" s="50"/>
      <c r="L15" s="63"/>
      <c r="M15" s="46"/>
      <c r="N15" s="7"/>
      <c r="O15" s="32" t="s">
        <v>18</v>
      </c>
      <c r="P15" s="368"/>
      <c r="Q15" s="65"/>
      <c r="R15" s="50"/>
      <c r="S15" s="63"/>
      <c r="T15" s="361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</row>
    <row r="16" spans="1:43" s="3" customFormat="1" x14ac:dyDescent="0.25">
      <c r="A16" s="32"/>
      <c r="B16" s="369"/>
      <c r="C16" s="65"/>
      <c r="D16" s="50"/>
      <c r="E16" s="65"/>
      <c r="F16" s="50"/>
      <c r="G16" s="7"/>
      <c r="H16" s="38" t="s">
        <v>19</v>
      </c>
      <c r="I16" s="368">
        <f>'LWVCEF-Stmt of Fin. Pos. by mth'!AD94</f>
        <v>97115.36</v>
      </c>
      <c r="J16" s="392">
        <v>53000</v>
      </c>
      <c r="K16" s="80">
        <f>I16-J16</f>
        <v>44115.360000000001</v>
      </c>
      <c r="L16" s="63">
        <f>70455-1668</f>
        <v>68787</v>
      </c>
      <c r="M16" s="46">
        <f>+J16</f>
        <v>53000</v>
      </c>
      <c r="N16" s="7"/>
      <c r="O16" s="32"/>
      <c r="P16" s="368"/>
      <c r="Q16" s="65"/>
      <c r="R16" s="50"/>
      <c r="S16" s="63"/>
      <c r="T16" s="361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</row>
    <row r="17" spans="1:43" s="3" customFormat="1" x14ac:dyDescent="0.25">
      <c r="A17" s="21" t="s">
        <v>20</v>
      </c>
      <c r="B17" s="368">
        <f>'LWVCEF Summary'!C72</f>
        <v>39047.230000000003</v>
      </c>
      <c r="C17" s="392">
        <v>39046</v>
      </c>
      <c r="D17" s="46">
        <f>B17-C17</f>
        <v>1.2300000000032014</v>
      </c>
      <c r="E17" s="63">
        <v>39046</v>
      </c>
      <c r="F17" s="46">
        <f>B17-E17</f>
        <v>1.2300000000032014</v>
      </c>
      <c r="G17" s="20"/>
      <c r="H17" s="21" t="s">
        <v>21</v>
      </c>
      <c r="I17" s="368">
        <f>'LWVCEF-Stmt of Fin. Pos. by mth'!AD92</f>
        <v>91290.99</v>
      </c>
      <c r="J17" s="63">
        <v>64328.280000000013</v>
      </c>
      <c r="K17" s="84">
        <f>I17-J17</f>
        <v>26962.709999999992</v>
      </c>
      <c r="L17" s="63">
        <f>104706-27719</f>
        <v>76987</v>
      </c>
      <c r="M17" s="46">
        <f>I17-L17</f>
        <v>14303.990000000005</v>
      </c>
      <c r="N17" s="7"/>
      <c r="O17" s="21" t="s">
        <v>22</v>
      </c>
      <c r="P17" s="368">
        <f t="shared" ref="P17:Q19" si="0">B17</f>
        <v>39047.230000000003</v>
      </c>
      <c r="Q17" s="63">
        <f t="shared" si="0"/>
        <v>39046</v>
      </c>
      <c r="R17" s="46">
        <f>Q17-S17</f>
        <v>0</v>
      </c>
      <c r="S17" s="63">
        <f>E17</f>
        <v>39046</v>
      </c>
      <c r="T17" s="84">
        <f t="shared" ref="T17:T27" si="1">P17-S17</f>
        <v>1.2300000000032014</v>
      </c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</row>
    <row r="18" spans="1:43" s="3" customFormat="1" x14ac:dyDescent="0.25">
      <c r="A18" s="21" t="s">
        <v>23</v>
      </c>
      <c r="B18" s="448">
        <f>B20-B17-B19</f>
        <v>-60676.290000000008</v>
      </c>
      <c r="C18" s="63">
        <v>25000</v>
      </c>
      <c r="D18" s="46">
        <f>B18-C18</f>
        <v>-85676.290000000008</v>
      </c>
      <c r="E18" s="63"/>
      <c r="F18" s="46">
        <f>B18-E18</f>
        <v>-60676.290000000008</v>
      </c>
      <c r="G18" s="20"/>
      <c r="H18" s="21" t="s">
        <v>24</v>
      </c>
      <c r="I18" s="517"/>
      <c r="J18" s="63"/>
      <c r="K18" s="46">
        <f>I18-J18</f>
        <v>0</v>
      </c>
      <c r="L18" s="63">
        <v>15000</v>
      </c>
      <c r="M18" s="46">
        <f>I18-L18</f>
        <v>-15000</v>
      </c>
      <c r="N18" s="7"/>
      <c r="O18" s="21" t="s">
        <v>23</v>
      </c>
      <c r="P18" s="382">
        <f>B18</f>
        <v>-60676.290000000008</v>
      </c>
      <c r="Q18" s="63">
        <f t="shared" si="0"/>
        <v>25000</v>
      </c>
      <c r="R18" s="46">
        <f>P18-Q18</f>
        <v>-85676.290000000008</v>
      </c>
      <c r="S18" s="63">
        <f>E18</f>
        <v>0</v>
      </c>
      <c r="T18" s="84">
        <f t="shared" si="1"/>
        <v>-60676.290000000008</v>
      </c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</row>
    <row r="19" spans="1:43" s="3" customFormat="1" x14ac:dyDescent="0.25">
      <c r="A19" s="21" t="s">
        <v>25</v>
      </c>
      <c r="B19" s="368">
        <f>'LWVCEF Summary'!C70</f>
        <v>8221.7999999999993</v>
      </c>
      <c r="C19" s="63">
        <v>39373.597835624969</v>
      </c>
      <c r="D19" s="46">
        <f>B19-C19</f>
        <v>-31151.79783562497</v>
      </c>
      <c r="E19" s="63">
        <f>+E13-E17</f>
        <v>50146</v>
      </c>
      <c r="F19" s="46">
        <f>B19-E19</f>
        <v>-41924.199999999997</v>
      </c>
      <c r="G19" s="20"/>
      <c r="H19" s="21" t="s">
        <v>26</v>
      </c>
      <c r="I19" s="368"/>
      <c r="J19" s="63">
        <v>0</v>
      </c>
      <c r="K19" s="46">
        <f>J19-L19</f>
        <v>-12898</v>
      </c>
      <c r="L19" s="63">
        <v>12898</v>
      </c>
      <c r="M19" s="46">
        <f>I19-L19</f>
        <v>-12898</v>
      </c>
      <c r="N19" s="7"/>
      <c r="O19" s="21" t="s">
        <v>25</v>
      </c>
      <c r="P19" s="368">
        <f t="shared" si="0"/>
        <v>8221.7999999999993</v>
      </c>
      <c r="Q19" s="63">
        <f t="shared" si="0"/>
        <v>39373.597835624969</v>
      </c>
      <c r="R19" s="46">
        <f>P19-Q19</f>
        <v>-31151.79783562497</v>
      </c>
      <c r="S19" s="358">
        <f>E19</f>
        <v>50146</v>
      </c>
      <c r="T19" s="84">
        <f t="shared" si="1"/>
        <v>-41924.199999999997</v>
      </c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</row>
    <row r="20" spans="1:43" s="3" customFormat="1" ht="15.75" thickBot="1" x14ac:dyDescent="0.3">
      <c r="A20" s="32" t="s">
        <v>27</v>
      </c>
      <c r="B20" s="371">
        <f>B13</f>
        <v>-13407.260000000009</v>
      </c>
      <c r="C20" s="77">
        <v>103419.59783562497</v>
      </c>
      <c r="D20" s="363">
        <f>B20-C20</f>
        <v>-116826.85783562498</v>
      </c>
      <c r="E20" s="77">
        <f>SUM(E17:E19)</f>
        <v>89192</v>
      </c>
      <c r="F20" s="67">
        <f>B20-E20</f>
        <v>-102599.26000000001</v>
      </c>
      <c r="G20" s="20"/>
      <c r="H20" s="35" t="s">
        <v>28</v>
      </c>
      <c r="I20" s="375">
        <f>SUM(I16:I19)</f>
        <v>188406.35</v>
      </c>
      <c r="J20" s="77">
        <v>117328.28000000001</v>
      </c>
      <c r="K20" s="379">
        <f>SUM(K17:K19)</f>
        <v>14064.709999999992</v>
      </c>
      <c r="L20" s="375">
        <f>SUM(L16:L19)</f>
        <v>173672</v>
      </c>
      <c r="M20" s="99">
        <f>I20-L20</f>
        <v>14734.350000000006</v>
      </c>
      <c r="N20" s="7"/>
      <c r="O20" s="32" t="s">
        <v>29</v>
      </c>
      <c r="P20" s="375">
        <f>SUM(P17:P19)</f>
        <v>-13407.260000000006</v>
      </c>
      <c r="Q20" s="97">
        <f>SUM(Q17:Q19)</f>
        <v>103419.59783562497</v>
      </c>
      <c r="R20" s="48">
        <f>Q20-S20</f>
        <v>14227.597835624969</v>
      </c>
      <c r="S20" s="97">
        <f>SUM(S17:S19)</f>
        <v>89192</v>
      </c>
      <c r="T20" s="363">
        <f t="shared" si="1"/>
        <v>-102599.26000000001</v>
      </c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</row>
    <row r="21" spans="1:43" s="3" customFormat="1" ht="16.5" thickTop="1" thickBot="1" x14ac:dyDescent="0.3">
      <c r="A21" s="36"/>
      <c r="B21" s="372"/>
      <c r="C21" s="366"/>
      <c r="D21" s="374"/>
      <c r="E21" s="355"/>
      <c r="F21" s="37"/>
      <c r="G21" s="20"/>
      <c r="H21" s="36"/>
      <c r="I21" s="376"/>
      <c r="J21" s="396"/>
      <c r="K21" s="374"/>
      <c r="L21" s="98"/>
      <c r="M21" s="100"/>
      <c r="N21" s="7"/>
      <c r="O21" s="38"/>
      <c r="P21" s="388"/>
      <c r="Q21" s="358"/>
      <c r="R21" s="46"/>
      <c r="S21" s="66"/>
      <c r="T21" s="84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1:43" s="3" customFormat="1" ht="19.5" customHeight="1" x14ac:dyDescent="0.25">
      <c r="A22" s="86"/>
      <c r="B22" s="621"/>
      <c r="C22" s="86"/>
      <c r="D22" s="86"/>
      <c r="E22" s="40"/>
      <c r="F22" s="33"/>
      <c r="G22" s="7"/>
      <c r="H22" s="40"/>
      <c r="I22" s="486">
        <f>+I20-I13</f>
        <v>-0.46000000002095476</v>
      </c>
      <c r="J22" s="39"/>
      <c r="K22" s="39"/>
      <c r="L22" s="41"/>
      <c r="M22" s="6"/>
      <c r="N22" s="7"/>
      <c r="O22" s="38" t="s">
        <v>19</v>
      </c>
      <c r="P22" s="368">
        <f>I16</f>
        <v>97115.36</v>
      </c>
      <c r="Q22" s="392">
        <v>53000</v>
      </c>
      <c r="R22" s="80">
        <f>P22-Q22</f>
        <v>44115.360000000001</v>
      </c>
      <c r="S22" s="63">
        <f>70455-1668</f>
        <v>68787</v>
      </c>
      <c r="T22" s="84">
        <f t="shared" si="1"/>
        <v>28328.36</v>
      </c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</row>
    <row r="23" spans="1:43" s="3" customFormat="1" x14ac:dyDescent="0.25">
      <c r="A23" s="86"/>
      <c r="B23" s="40"/>
      <c r="C23" s="39"/>
      <c r="D23" s="39"/>
      <c r="E23" s="40"/>
      <c r="F23" s="6"/>
      <c r="G23" s="7"/>
      <c r="H23" s="40"/>
      <c r="I23" s="604"/>
      <c r="J23" s="605"/>
      <c r="K23" s="605"/>
      <c r="L23" s="606"/>
      <c r="M23" s="605"/>
      <c r="N23" s="343"/>
      <c r="O23" s="21" t="s">
        <v>21</v>
      </c>
      <c r="P23" s="368">
        <f>I17</f>
        <v>91290.99</v>
      </c>
      <c r="Q23" s="63">
        <v>64328.280000000013</v>
      </c>
      <c r="R23" s="84">
        <f>P23-Q23</f>
        <v>26962.709999999992</v>
      </c>
      <c r="S23" s="63">
        <f>104706-27719</f>
        <v>76987</v>
      </c>
      <c r="T23" s="84">
        <f t="shared" si="1"/>
        <v>14303.990000000005</v>
      </c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</row>
    <row r="24" spans="1:43" s="3" customFormat="1" x14ac:dyDescent="0.25">
      <c r="A24" s="39"/>
      <c r="B24" s="40"/>
      <c r="C24" s="39"/>
      <c r="D24" s="39"/>
      <c r="E24" s="40"/>
      <c r="F24" s="6"/>
      <c r="G24" s="7"/>
      <c r="H24" s="40"/>
      <c r="I24" s="607"/>
      <c r="J24" s="605"/>
      <c r="K24" s="605"/>
      <c r="L24" s="606"/>
      <c r="M24" s="605"/>
      <c r="N24" s="343"/>
      <c r="O24" s="21" t="s">
        <v>24</v>
      </c>
      <c r="P24" s="368">
        <f>I18</f>
        <v>0</v>
      </c>
      <c r="Q24" s="63"/>
      <c r="R24" s="46">
        <f>P24-Q24</f>
        <v>0</v>
      </c>
      <c r="S24" s="63">
        <v>15000</v>
      </c>
      <c r="T24" s="84">
        <f t="shared" si="1"/>
        <v>-15000</v>
      </c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</row>
    <row r="25" spans="1:43" s="3" customFormat="1" x14ac:dyDescent="0.25">
      <c r="A25" s="39"/>
      <c r="B25" s="40"/>
      <c r="C25" s="41"/>
      <c r="D25" s="6"/>
      <c r="E25" s="40"/>
      <c r="F25" s="57"/>
      <c r="G25" s="40"/>
      <c r="H25" s="40"/>
      <c r="I25" s="40"/>
      <c r="J25" s="6"/>
      <c r="K25" s="6"/>
      <c r="L25" s="57"/>
      <c r="M25" s="57"/>
      <c r="N25" s="7"/>
      <c r="O25" s="21" t="s">
        <v>26</v>
      </c>
      <c r="P25" s="368">
        <f>I19</f>
        <v>0</v>
      </c>
      <c r="Q25" s="63">
        <v>0</v>
      </c>
      <c r="R25" s="46">
        <f>Q25-S25</f>
        <v>-12898</v>
      </c>
      <c r="S25" s="63">
        <v>12898</v>
      </c>
      <c r="T25" s="84">
        <f t="shared" si="1"/>
        <v>-12898</v>
      </c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</row>
    <row r="26" spans="1:43" s="3" customFormat="1" ht="15.75" thickBot="1" x14ac:dyDescent="0.3">
      <c r="A26" s="39"/>
      <c r="B26" s="40"/>
      <c r="C26" s="39"/>
      <c r="D26" s="39"/>
      <c r="E26" s="40"/>
      <c r="F26" s="57"/>
      <c r="G26" s="40"/>
      <c r="H26" s="40"/>
      <c r="I26" s="607"/>
      <c r="J26" s="605"/>
      <c r="K26" s="605"/>
      <c r="L26" s="606"/>
      <c r="M26" s="606"/>
      <c r="N26" s="608"/>
      <c r="O26" s="35" t="s">
        <v>28</v>
      </c>
      <c r="P26" s="375">
        <f>SUM(P21:P25)</f>
        <v>188406.35</v>
      </c>
      <c r="Q26" s="64">
        <f>SUM(Q21:Q25)</f>
        <v>117328.28000000001</v>
      </c>
      <c r="R26" s="48">
        <f>SUM(R21:R25)</f>
        <v>58180.069999999992</v>
      </c>
      <c r="S26" s="97">
        <f>SUM(S21:S25)</f>
        <v>173672</v>
      </c>
      <c r="T26" s="363">
        <f t="shared" si="1"/>
        <v>14734.350000000006</v>
      </c>
      <c r="U26" s="60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</row>
    <row r="27" spans="1:43" s="3" customFormat="1" ht="16.5" thickTop="1" thickBot="1" x14ac:dyDescent="0.3">
      <c r="A27" s="39"/>
      <c r="B27" s="40"/>
      <c r="C27" s="39"/>
      <c r="D27" s="39"/>
      <c r="E27" s="40"/>
      <c r="F27" s="6"/>
      <c r="G27" s="6"/>
      <c r="H27" s="54"/>
      <c r="I27" s="54"/>
      <c r="J27" s="417"/>
      <c r="K27" s="418"/>
      <c r="L27" s="419"/>
      <c r="M27" s="419"/>
      <c r="N27" s="2"/>
      <c r="O27" s="420" t="s">
        <v>30</v>
      </c>
      <c r="P27" s="421">
        <f>+P26+P20</f>
        <v>174999.09</v>
      </c>
      <c r="Q27" s="422">
        <f>+Q26+Q20</f>
        <v>220747.87783562497</v>
      </c>
      <c r="R27" s="111">
        <f>+R26+R20</f>
        <v>72407.667835624961</v>
      </c>
      <c r="S27" s="359">
        <f>S26+S20</f>
        <v>262864</v>
      </c>
      <c r="T27" s="365">
        <f t="shared" si="1"/>
        <v>-87864.91</v>
      </c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</row>
    <row r="28" spans="1:43" x14ac:dyDescent="0.25">
      <c r="A28" s="39"/>
      <c r="B28" s="40"/>
      <c r="C28" s="39"/>
      <c r="D28" s="39"/>
      <c r="E28" s="40"/>
      <c r="F28" s="6"/>
      <c r="G28" s="6"/>
      <c r="H28" s="40"/>
      <c r="I28" s="40"/>
      <c r="J28" s="423"/>
      <c r="K28" s="3"/>
      <c r="L28" s="424"/>
      <c r="M28" s="3"/>
      <c r="N28" s="2"/>
      <c r="O28" s="86"/>
      <c r="P28" s="597">
        <f>+P27-P13</f>
        <v>-0.45999999999185093</v>
      </c>
      <c r="Q28" s="598"/>
      <c r="R28" s="599"/>
      <c r="S28" s="600" t="s">
        <v>31</v>
      </c>
      <c r="T28" s="601"/>
    </row>
    <row r="29" spans="1:43" ht="19.5" thickBot="1" x14ac:dyDescent="0.35">
      <c r="A29" s="8" t="s">
        <v>32</v>
      </c>
      <c r="B29" s="9"/>
      <c r="C29" s="8"/>
      <c r="D29" s="8"/>
      <c r="E29" s="6"/>
      <c r="F29" s="6"/>
      <c r="G29" s="6"/>
      <c r="H29" s="397" t="s">
        <v>33</v>
      </c>
      <c r="I29" s="6"/>
      <c r="J29" s="86"/>
      <c r="K29" s="86"/>
      <c r="L29" s="3"/>
      <c r="M29" s="170"/>
      <c r="N29" s="2"/>
      <c r="O29" s="425" t="s">
        <v>34</v>
      </c>
      <c r="P29" s="60"/>
      <c r="Q29" s="426"/>
      <c r="R29" s="8"/>
      <c r="S29" s="7"/>
      <c r="T29" s="2"/>
    </row>
    <row r="30" spans="1:43" ht="45.75" thickBot="1" x14ac:dyDescent="0.3">
      <c r="A30" s="42"/>
      <c r="B30" s="13" t="s">
        <v>521</v>
      </c>
      <c r="C30" s="43" t="s">
        <v>3</v>
      </c>
      <c r="D30" s="373" t="s">
        <v>4</v>
      </c>
      <c r="E30" s="13" t="s">
        <v>5</v>
      </c>
      <c r="F30" s="14" t="s">
        <v>6</v>
      </c>
      <c r="G30" s="6"/>
      <c r="H30" s="73"/>
      <c r="I30" s="13" t="s">
        <v>521</v>
      </c>
      <c r="J30" s="427" t="s">
        <v>3</v>
      </c>
      <c r="K30" s="428" t="s">
        <v>4</v>
      </c>
      <c r="L30" s="429" t="s">
        <v>5</v>
      </c>
      <c r="M30" s="430" t="s">
        <v>6</v>
      </c>
      <c r="N30" s="2"/>
      <c r="O30" s="168"/>
      <c r="P30" s="429" t="s">
        <v>521</v>
      </c>
      <c r="Q30" s="431" t="s">
        <v>3</v>
      </c>
      <c r="R30" s="373" t="s">
        <v>4</v>
      </c>
      <c r="S30" s="44" t="s">
        <v>5</v>
      </c>
      <c r="T30" s="14" t="s">
        <v>6</v>
      </c>
    </row>
    <row r="31" spans="1:43" x14ac:dyDescent="0.25">
      <c r="A31" s="18" t="s">
        <v>7</v>
      </c>
      <c r="B31" s="367">
        <f>'LWVC-Stmt of Act. by Class'!DF15</f>
        <v>422692.95</v>
      </c>
      <c r="C31" s="88">
        <v>500407.70999999996</v>
      </c>
      <c r="D31" s="103">
        <f>B31-C31</f>
        <v>-77714.759999999951</v>
      </c>
      <c r="E31" s="470">
        <f>464144-E32</f>
        <v>439144</v>
      </c>
      <c r="F31" s="19">
        <f>B31-E31</f>
        <v>-16451.049999999988</v>
      </c>
      <c r="G31" s="6"/>
      <c r="H31" s="18" t="s">
        <v>8</v>
      </c>
      <c r="I31" s="367">
        <f>B31+P4+P5+B32+B33</f>
        <v>771102.05</v>
      </c>
      <c r="J31" s="432">
        <f>+C34+Q6</f>
        <v>836122.1</v>
      </c>
      <c r="K31" s="398">
        <f>I31-J31</f>
        <v>-65020.04999999993</v>
      </c>
      <c r="L31" s="433">
        <f>+E34+S6</f>
        <v>1109314</v>
      </c>
      <c r="M31" s="398">
        <f>I31-L31</f>
        <v>-338211.94999999995</v>
      </c>
      <c r="N31" s="2"/>
      <c r="O31" s="168" t="s">
        <v>7</v>
      </c>
      <c r="P31" s="518">
        <f>'LWVC-Stmt of Act. by Class'!DF15-'LWVC-Stmt of Act. by Class'!BR15</f>
        <v>420452.95</v>
      </c>
      <c r="Q31" s="433">
        <f>+C31</f>
        <v>500407.70999999996</v>
      </c>
      <c r="R31" s="103">
        <f>P31-Q31</f>
        <v>-79954.759999999951</v>
      </c>
      <c r="S31" s="45">
        <f>+E31</f>
        <v>439144</v>
      </c>
      <c r="T31" s="79">
        <f>P31-S31</f>
        <v>-18691.049999999988</v>
      </c>
      <c r="V31" s="488" t="s">
        <v>35</v>
      </c>
      <c r="W31" s="488"/>
      <c r="X31" s="488"/>
      <c r="Y31" s="488"/>
      <c r="Z31" s="488"/>
      <c r="AA31" s="488"/>
      <c r="AB31" s="488"/>
      <c r="AC31" s="488"/>
      <c r="AD31" s="488"/>
    </row>
    <row r="32" spans="1:43" x14ac:dyDescent="0.25">
      <c r="A32" s="21" t="s">
        <v>36</v>
      </c>
      <c r="B32" s="368">
        <f>'LWVC Summary'!C26</f>
        <v>0</v>
      </c>
      <c r="C32" s="63">
        <v>32643</v>
      </c>
      <c r="D32" s="24">
        <f>B32-C32</f>
        <v>-32643</v>
      </c>
      <c r="E32" s="22">
        <v>25000</v>
      </c>
      <c r="F32" s="46">
        <f>B32-E32</f>
        <v>-25000</v>
      </c>
      <c r="G32" s="6"/>
      <c r="H32" s="21" t="s">
        <v>10</v>
      </c>
      <c r="I32" s="368">
        <f>B35+P7</f>
        <v>837162.85</v>
      </c>
      <c r="J32" s="146">
        <f>C35+Q7</f>
        <v>911278.21109500004</v>
      </c>
      <c r="K32" s="84">
        <f>I32-J32</f>
        <v>-74115.361095000058</v>
      </c>
      <c r="L32" s="434">
        <f>E35+S7</f>
        <v>1079703</v>
      </c>
      <c r="M32" s="84">
        <f>I32-L32</f>
        <v>-242540.15000000002</v>
      </c>
      <c r="N32" s="2"/>
      <c r="O32" s="93" t="s">
        <v>10</v>
      </c>
      <c r="P32" s="389">
        <f>'LWVC-Stmt of Act. by Class'!DF35-'LWVC-Stmt of Act. by Class'!BR35</f>
        <v>388699.2</v>
      </c>
      <c r="Q32" s="438">
        <v>440054.40390390629</v>
      </c>
      <c r="R32" s="24">
        <f>P32-Q32</f>
        <v>-51355.20390390628</v>
      </c>
      <c r="S32" s="127">
        <f>E35-28000</f>
        <v>431967</v>
      </c>
      <c r="T32" s="80">
        <f>P32-S32</f>
        <v>-43267.799999999988</v>
      </c>
    </row>
    <row r="33" spans="1:43" ht="15.75" thickBot="1" x14ac:dyDescent="0.3">
      <c r="A33" s="21"/>
      <c r="B33" s="368"/>
      <c r="C33" s="63"/>
      <c r="D33" s="24"/>
      <c r="E33" s="22"/>
      <c r="F33" s="46"/>
      <c r="G33" s="6"/>
      <c r="H33" s="21" t="s">
        <v>15</v>
      </c>
      <c r="I33" s="102">
        <f>I31-I32</f>
        <v>-66060.79999999993</v>
      </c>
      <c r="J33" s="436">
        <f>J31-J32</f>
        <v>-75156.111095000058</v>
      </c>
      <c r="K33" s="363">
        <f>K31-K32</f>
        <v>9095.3110950001283</v>
      </c>
      <c r="L33" s="437">
        <f>L31-L32</f>
        <v>29611</v>
      </c>
      <c r="M33" s="363">
        <f>M31-M32</f>
        <v>-95671.79999999993</v>
      </c>
      <c r="N33" s="2"/>
      <c r="O33" s="93" t="s">
        <v>37</v>
      </c>
      <c r="P33" s="60">
        <f>+B36</f>
        <v>0</v>
      </c>
      <c r="Q33" s="2"/>
      <c r="R33" s="401"/>
      <c r="S33" s="401">
        <v>0</v>
      </c>
      <c r="T33" s="80">
        <f>P33-S33</f>
        <v>0</v>
      </c>
      <c r="U33" s="58"/>
      <c r="V33" s="58"/>
      <c r="W33" s="58"/>
    </row>
    <row r="34" spans="1:43" ht="16.5" thickTop="1" thickBot="1" x14ac:dyDescent="0.3">
      <c r="A34" s="32" t="s">
        <v>9</v>
      </c>
      <c r="B34" s="375">
        <f>SUM(B31:B33)</f>
        <v>422692.95</v>
      </c>
      <c r="C34" s="97">
        <v>534050.71</v>
      </c>
      <c r="D34" s="75">
        <f>SUM(D31:D33)</f>
        <v>-110357.75999999995</v>
      </c>
      <c r="E34" s="68">
        <f>+E33+E32+E31</f>
        <v>464144</v>
      </c>
      <c r="F34" s="75">
        <f>SUM(F31:F33)</f>
        <v>-41451.049999999988</v>
      </c>
      <c r="G34" s="6"/>
      <c r="H34" s="21"/>
      <c r="I34" s="368"/>
      <c r="J34" s="439"/>
      <c r="K34" s="84"/>
      <c r="L34" s="434"/>
      <c r="M34" s="84"/>
      <c r="N34" s="2"/>
      <c r="O34" s="93" t="s">
        <v>15</v>
      </c>
      <c r="P34" s="440">
        <f>P31-P32-P33</f>
        <v>31753.75</v>
      </c>
      <c r="Q34" s="441" t="e">
        <f>Q31-Q32+#REF!</f>
        <v>#REF!</v>
      </c>
      <c r="R34" s="48" t="e">
        <f>R31-R32+#REF!</f>
        <v>#REF!</v>
      </c>
      <c r="S34" s="440">
        <f>S31-S32-S33</f>
        <v>7177</v>
      </c>
      <c r="T34" s="440">
        <f>T31-T32-T33</f>
        <v>24576.75</v>
      </c>
      <c r="V34" s="58"/>
    </row>
    <row r="35" spans="1:43" ht="15.75" thickTop="1" x14ac:dyDescent="0.25">
      <c r="A35" s="21" t="s">
        <v>10</v>
      </c>
      <c r="B35" s="368">
        <f>'LWVC-Stmt of Act. by Class'!DF35</f>
        <v>426323.3</v>
      </c>
      <c r="C35" s="63">
        <v>442826.77390390629</v>
      </c>
      <c r="D35" s="24">
        <f>B35-C35</f>
        <v>-16503.473903906299</v>
      </c>
      <c r="E35" s="22">
        <v>459967</v>
      </c>
      <c r="F35" s="46">
        <f>B35-E35</f>
        <v>-33643.700000000012</v>
      </c>
      <c r="G35" s="6"/>
      <c r="H35" s="21" t="s">
        <v>16</v>
      </c>
      <c r="I35" s="368">
        <f>L35</f>
        <v>465216</v>
      </c>
      <c r="J35" s="146">
        <f>Q12+C39</f>
        <v>383997</v>
      </c>
      <c r="K35" s="80">
        <f>+J35-L35</f>
        <v>-81219</v>
      </c>
      <c r="L35" s="434">
        <f>E39+S12</f>
        <v>465216</v>
      </c>
      <c r="M35" s="84">
        <f>I35-L35</f>
        <v>0</v>
      </c>
      <c r="N35" s="2"/>
      <c r="O35" s="93"/>
      <c r="P35" s="435"/>
      <c r="Q35" s="438"/>
      <c r="R35" s="46"/>
      <c r="S35" s="25"/>
      <c r="T35" s="80"/>
      <c r="V35" s="58"/>
    </row>
    <row r="36" spans="1:43" x14ac:dyDescent="0.25">
      <c r="A36" s="21" t="s">
        <v>37</v>
      </c>
      <c r="B36" s="153">
        <v>0</v>
      </c>
      <c r="C36" s="63">
        <v>0</v>
      </c>
      <c r="D36" s="24">
        <f>B36-C36</f>
        <v>0</v>
      </c>
      <c r="E36" s="22"/>
      <c r="F36" s="46">
        <f>B36-E36</f>
        <v>0</v>
      </c>
      <c r="G36" s="6"/>
      <c r="H36" s="21"/>
      <c r="I36" s="368"/>
      <c r="J36" s="146"/>
      <c r="K36" s="80"/>
      <c r="L36" s="434"/>
      <c r="M36" s="84"/>
      <c r="N36" s="2"/>
      <c r="O36" s="93" t="s">
        <v>16</v>
      </c>
      <c r="P36" s="435">
        <f>+S36</f>
        <v>170763</v>
      </c>
      <c r="Q36" s="438">
        <f>+P36</f>
        <v>170763</v>
      </c>
      <c r="R36" s="24">
        <f>P36-Q36</f>
        <v>0</v>
      </c>
      <c r="S36" s="25">
        <f>+E39-57023</f>
        <v>170763</v>
      </c>
      <c r="T36" s="80">
        <f>P36-S36</f>
        <v>0</v>
      </c>
      <c r="V36" s="58"/>
    </row>
    <row r="37" spans="1:43" ht="15.75" thickBot="1" x14ac:dyDescent="0.3">
      <c r="A37" s="21" t="s">
        <v>15</v>
      </c>
      <c r="B37" s="26">
        <f>+B34-B35-B36</f>
        <v>-3630.3499999999767</v>
      </c>
      <c r="C37" s="64">
        <v>91223.936096093676</v>
      </c>
      <c r="D37" s="356">
        <f>B37-C37</f>
        <v>-94854.286096093652</v>
      </c>
      <c r="E37" s="28">
        <f>E34-E35</f>
        <v>4177</v>
      </c>
      <c r="F37" s="48">
        <f>+F34+F35-F36</f>
        <v>-75094.75</v>
      </c>
      <c r="G37" s="6"/>
      <c r="H37" s="21" t="s">
        <v>17</v>
      </c>
      <c r="I37" s="371">
        <f>I35+I33</f>
        <v>399155.20000000007</v>
      </c>
      <c r="J37" s="442">
        <f>C40+Q13</f>
        <v>308840.88890499994</v>
      </c>
      <c r="K37" s="81">
        <f>I37-J37</f>
        <v>90314.311095000128</v>
      </c>
      <c r="L37" s="443">
        <f>L35+L33</f>
        <v>494827</v>
      </c>
      <c r="M37" s="82">
        <f>I37-L37</f>
        <v>-95671.79999999993</v>
      </c>
      <c r="N37" s="2"/>
      <c r="O37" s="93" t="s">
        <v>17</v>
      </c>
      <c r="P37" s="444">
        <f>P34+P36</f>
        <v>202516.75</v>
      </c>
      <c r="Q37" s="441" t="e">
        <f>+Q34+Q36</f>
        <v>#REF!</v>
      </c>
      <c r="R37" s="356" t="e">
        <f>P37-Q37</f>
        <v>#REF!</v>
      </c>
      <c r="S37" s="34">
        <f>S34+S36</f>
        <v>177940</v>
      </c>
      <c r="T37" s="82">
        <f>P37-S37</f>
        <v>24576.75</v>
      </c>
      <c r="U37" s="58"/>
    </row>
    <row r="38" spans="1:43" ht="15.75" thickTop="1" x14ac:dyDescent="0.25">
      <c r="A38" s="21"/>
      <c r="B38" s="369"/>
      <c r="C38" s="65"/>
      <c r="D38" s="50"/>
      <c r="E38" s="7"/>
      <c r="F38" s="50"/>
      <c r="G38" s="6"/>
      <c r="H38" s="21"/>
      <c r="I38" s="74"/>
      <c r="J38" s="146"/>
      <c r="K38" s="80"/>
      <c r="L38" s="60"/>
      <c r="M38" s="80"/>
      <c r="N38" s="2"/>
      <c r="O38" s="93"/>
      <c r="P38" s="446"/>
      <c r="Q38" s="445"/>
      <c r="R38" s="50"/>
      <c r="S38" s="7"/>
      <c r="T38" s="83"/>
      <c r="V38" s="58"/>
    </row>
    <row r="39" spans="1:43" x14ac:dyDescent="0.25">
      <c r="A39" s="21" t="s">
        <v>16</v>
      </c>
      <c r="B39" s="370">
        <v>227786</v>
      </c>
      <c r="C39" s="392">
        <v>146567</v>
      </c>
      <c r="D39" s="24">
        <f>E39-C39</f>
        <v>81219</v>
      </c>
      <c r="E39" s="30">
        <v>227786</v>
      </c>
      <c r="F39" s="49">
        <f>E39-B39</f>
        <v>0</v>
      </c>
      <c r="G39" s="6"/>
      <c r="H39" s="32" t="s">
        <v>18</v>
      </c>
      <c r="I39" s="369"/>
      <c r="J39" s="93"/>
      <c r="K39" s="83"/>
      <c r="L39" s="445"/>
      <c r="M39" s="83"/>
      <c r="N39" s="2"/>
      <c r="O39" s="447" t="s">
        <v>18</v>
      </c>
      <c r="P39" s="446"/>
      <c r="Q39" s="445"/>
      <c r="R39" s="50"/>
      <c r="S39" s="7"/>
      <c r="T39" s="80"/>
      <c r="V39" s="58"/>
    </row>
    <row r="40" spans="1:43" ht="15.75" thickBot="1" x14ac:dyDescent="0.3">
      <c r="A40" s="21" t="s">
        <v>17</v>
      </c>
      <c r="B40" s="102">
        <f>B37+B39</f>
        <v>224155.65000000002</v>
      </c>
      <c r="C40" s="95">
        <v>237790.93609609368</v>
      </c>
      <c r="D40" s="356">
        <f>B40-C40</f>
        <v>-13635.286096093652</v>
      </c>
      <c r="E40" s="27">
        <f>E39+E37</f>
        <v>231963</v>
      </c>
      <c r="F40" s="48">
        <f>B40-E40</f>
        <v>-7807.3499999999767</v>
      </c>
      <c r="G40" s="6"/>
      <c r="H40" s="21" t="s">
        <v>22</v>
      </c>
      <c r="I40" s="382">
        <f>B17</f>
        <v>39047.230000000003</v>
      </c>
      <c r="J40" s="439">
        <f>+Q17</f>
        <v>39046</v>
      </c>
      <c r="K40" s="80">
        <f t="shared" ref="K40:K46" si="2">I40-J40</f>
        <v>1.2300000000032014</v>
      </c>
      <c r="L40" s="434">
        <v>39046</v>
      </c>
      <c r="M40" s="84">
        <f t="shared" ref="M40:M50" si="3">I40-L40</f>
        <v>1.2300000000032014</v>
      </c>
      <c r="N40" s="2"/>
      <c r="O40" s="93" t="s">
        <v>23</v>
      </c>
      <c r="P40" s="448">
        <f>+B46</f>
        <v>87516.380000000034</v>
      </c>
      <c r="Q40" s="434">
        <f>+C46</f>
        <v>30904.306096093671</v>
      </c>
      <c r="R40" s="51">
        <f>P40-Q40</f>
        <v>56612.073903906363</v>
      </c>
      <c r="S40" s="22">
        <f>+E46</f>
        <v>0</v>
      </c>
      <c r="T40" s="84">
        <f>P40-S40</f>
        <v>87516.380000000034</v>
      </c>
    </row>
    <row r="41" spans="1:43" ht="15.75" thickTop="1" x14ac:dyDescent="0.25">
      <c r="A41" s="21"/>
      <c r="B41" s="369"/>
      <c r="C41" s="65"/>
      <c r="D41" s="50"/>
      <c r="E41" s="7"/>
      <c r="F41" s="50"/>
      <c r="G41" s="6"/>
      <c r="H41" s="21" t="s">
        <v>38</v>
      </c>
      <c r="I41" s="382">
        <f>B44</f>
        <v>21639.27</v>
      </c>
      <c r="J41" s="439">
        <f>+C44</f>
        <v>50682.92</v>
      </c>
      <c r="K41" s="84">
        <f t="shared" si="2"/>
        <v>-29043.649999999998</v>
      </c>
      <c r="L41" s="434">
        <f>+E44</f>
        <v>54023</v>
      </c>
      <c r="M41" s="84">
        <f t="shared" si="3"/>
        <v>-32383.73</v>
      </c>
      <c r="N41" s="2"/>
      <c r="O41" s="93" t="s">
        <v>39</v>
      </c>
      <c r="P41" s="448">
        <v>0</v>
      </c>
      <c r="Q41" s="434">
        <v>0</v>
      </c>
      <c r="R41" s="51">
        <f>P41-Q41</f>
        <v>0</v>
      </c>
      <c r="S41" s="22">
        <v>0</v>
      </c>
      <c r="T41" s="84"/>
      <c r="U41" s="60"/>
    </row>
    <row r="42" spans="1:43" x14ac:dyDescent="0.25">
      <c r="A42" s="32" t="s">
        <v>18</v>
      </c>
      <c r="B42" s="369"/>
      <c r="C42" s="65"/>
      <c r="D42" s="50"/>
      <c r="E42" s="7"/>
      <c r="F42" s="50"/>
      <c r="G42" s="6"/>
      <c r="H42" s="21" t="s">
        <v>40</v>
      </c>
      <c r="I42" s="382">
        <f>B45</f>
        <v>0</v>
      </c>
      <c r="J42" s="439">
        <f>+C45</f>
        <v>11203.71</v>
      </c>
      <c r="K42" s="84">
        <f t="shared" si="2"/>
        <v>-11203.71</v>
      </c>
      <c r="L42" s="434">
        <f>+E45</f>
        <v>0</v>
      </c>
      <c r="M42" s="84">
        <f t="shared" si="3"/>
        <v>0</v>
      </c>
      <c r="N42" s="2"/>
      <c r="O42" s="93" t="s">
        <v>25</v>
      </c>
      <c r="P42" s="448">
        <f>B47</f>
        <v>115000</v>
      </c>
      <c r="Q42" s="434">
        <f>+C47</f>
        <v>145000</v>
      </c>
      <c r="R42" s="378">
        <f>P42-Q42</f>
        <v>-30000</v>
      </c>
      <c r="S42" s="22">
        <f>+E47</f>
        <v>177940</v>
      </c>
      <c r="T42" s="84">
        <f>P42-S42</f>
        <v>-62940</v>
      </c>
    </row>
    <row r="43" spans="1:43" ht="15.75" thickBot="1" x14ac:dyDescent="0.3">
      <c r="A43" s="38" t="s">
        <v>39</v>
      </c>
      <c r="B43" s="515"/>
      <c r="C43" s="65">
        <v>0</v>
      </c>
      <c r="D43" s="50"/>
      <c r="E43" s="22">
        <v>0</v>
      </c>
      <c r="F43" s="46">
        <f>B43-E43</f>
        <v>0</v>
      </c>
      <c r="G43" s="6"/>
      <c r="H43" s="38" t="s">
        <v>39</v>
      </c>
      <c r="I43" s="382">
        <f>B43</f>
        <v>0</v>
      </c>
      <c r="J43" s="439">
        <v>0</v>
      </c>
      <c r="K43" s="84">
        <f t="shared" si="2"/>
        <v>0</v>
      </c>
      <c r="L43" s="434">
        <f>+E43</f>
        <v>0</v>
      </c>
      <c r="M43" s="84">
        <f t="shared" si="3"/>
        <v>0</v>
      </c>
      <c r="N43" s="2"/>
      <c r="O43" s="420" t="s">
        <v>27</v>
      </c>
      <c r="P43" s="450">
        <f>SUM(P40:P42)</f>
        <v>202516.38000000003</v>
      </c>
      <c r="Q43" s="451">
        <f>SUM(Q40:Q42)</f>
        <v>175904.30609609367</v>
      </c>
      <c r="R43" s="390">
        <f>SUM(R40:R42)</f>
        <v>26612.073903906363</v>
      </c>
      <c r="S43" s="55">
        <f>SUM(S40:S42)</f>
        <v>177940</v>
      </c>
      <c r="T43" s="85">
        <f>SUM(T40:T42)</f>
        <v>24576.380000000034</v>
      </c>
      <c r="V43" s="58"/>
      <c r="W43" s="58"/>
    </row>
    <row r="44" spans="1:43" x14ac:dyDescent="0.25">
      <c r="A44" s="21" t="s">
        <v>38</v>
      </c>
      <c r="B44" s="368">
        <f>'LWVC Summary'!C17</f>
        <v>21639.27</v>
      </c>
      <c r="C44" s="96">
        <v>50682.92</v>
      </c>
      <c r="D44" s="378">
        <f>B44-C44</f>
        <v>-29043.649999999998</v>
      </c>
      <c r="E44" s="22">
        <v>54023</v>
      </c>
      <c r="F44" s="46">
        <f>B44-E44</f>
        <v>-32383.73</v>
      </c>
      <c r="G44" s="6"/>
      <c r="H44" s="21" t="s">
        <v>23</v>
      </c>
      <c r="I44" s="382">
        <f>+B46+P18</f>
        <v>26840.090000000026</v>
      </c>
      <c r="J44" s="449">
        <f>+C46+Q18</f>
        <v>55904.306096093671</v>
      </c>
      <c r="K44" s="84">
        <f t="shared" si="2"/>
        <v>-29064.216096093645</v>
      </c>
      <c r="L44" s="63">
        <f>+S18</f>
        <v>0</v>
      </c>
      <c r="M44" s="84">
        <f t="shared" si="3"/>
        <v>26840.090000000026</v>
      </c>
      <c r="N44" s="2"/>
      <c r="O44" s="2"/>
      <c r="P44" s="619">
        <f>+P43-P37</f>
        <v>-0.36999999996623956</v>
      </c>
      <c r="Q44" s="452"/>
      <c r="S44" s="58"/>
      <c r="V44" s="58"/>
      <c r="W44" s="58"/>
    </row>
    <row r="45" spans="1:43" ht="19.5" thickBot="1" x14ac:dyDescent="0.35">
      <c r="A45" s="21" t="s">
        <v>40</v>
      </c>
      <c r="B45" s="368">
        <v>0</v>
      </c>
      <c r="C45" s="96">
        <v>11203.71</v>
      </c>
      <c r="D45" s="378">
        <f>B45-C45</f>
        <v>-11203.71</v>
      </c>
      <c r="E45" s="461">
        <v>0</v>
      </c>
      <c r="F45" s="46">
        <f>B45-E45</f>
        <v>0</v>
      </c>
      <c r="G45" s="6"/>
      <c r="H45" s="21" t="s">
        <v>25</v>
      </c>
      <c r="I45" s="383">
        <f>+B47+P19</f>
        <v>123221.8</v>
      </c>
      <c r="J45" s="439">
        <f>+C47+C19</f>
        <v>184373.59783562497</v>
      </c>
      <c r="K45" s="84">
        <f t="shared" si="2"/>
        <v>-61151.797835624966</v>
      </c>
      <c r="L45" s="63">
        <f>+E47+S19</f>
        <v>228086</v>
      </c>
      <c r="M45" s="273">
        <f t="shared" si="3"/>
        <v>-104864.2</v>
      </c>
      <c r="N45" s="2"/>
      <c r="O45" s="455" t="s">
        <v>41</v>
      </c>
      <c r="P45" s="60"/>
      <c r="Q45" s="426"/>
      <c r="R45" s="8"/>
      <c r="S45" s="7"/>
      <c r="T45" s="2"/>
      <c r="U45" s="2"/>
      <c r="V45" s="58"/>
    </row>
    <row r="46" spans="1:43" ht="45.75" thickBot="1" x14ac:dyDescent="0.3">
      <c r="A46" s="21" t="s">
        <v>23</v>
      </c>
      <c r="B46" s="368">
        <f>+B40-B44-B45-B47</f>
        <v>87516.380000000034</v>
      </c>
      <c r="C46" s="96">
        <v>30904.306096093671</v>
      </c>
      <c r="D46" s="378">
        <f>B46-C46</f>
        <v>56612.073903906363</v>
      </c>
      <c r="E46" s="22">
        <v>0</v>
      </c>
      <c r="F46" s="46">
        <f>B46-E46</f>
        <v>87516.380000000034</v>
      </c>
      <c r="G46" s="6"/>
      <c r="H46" s="32" t="s">
        <v>27</v>
      </c>
      <c r="I46" s="384">
        <f>SUM(I40:I45)</f>
        <v>210748.39</v>
      </c>
      <c r="J46" s="453">
        <f>SUM(J40:J45)</f>
        <v>341210.53393171867</v>
      </c>
      <c r="K46" s="363">
        <f t="shared" si="2"/>
        <v>-130462.14393171866</v>
      </c>
      <c r="L46" s="610">
        <f>SUM(L40:L45)</f>
        <v>321155</v>
      </c>
      <c r="M46" s="454">
        <f t="shared" si="3"/>
        <v>-110406.60999999999</v>
      </c>
      <c r="N46" s="2"/>
      <c r="O46" s="168"/>
      <c r="P46" s="429" t="s">
        <v>521</v>
      </c>
      <c r="Q46" s="431" t="s">
        <v>3</v>
      </c>
      <c r="R46" s="377" t="s">
        <v>42</v>
      </c>
      <c r="S46" s="44" t="s">
        <v>5</v>
      </c>
      <c r="T46" s="78" t="s">
        <v>43</v>
      </c>
    </row>
    <row r="47" spans="1:43" s="3" customFormat="1" ht="25.5" customHeight="1" thickBot="1" x14ac:dyDescent="0.3">
      <c r="A47" s="21" t="s">
        <v>25</v>
      </c>
      <c r="B47" s="368">
        <v>115000</v>
      </c>
      <c r="C47" s="393">
        <v>145000</v>
      </c>
      <c r="D47" s="378">
        <f>B47-C47</f>
        <v>-30000</v>
      </c>
      <c r="E47" s="22">
        <f>E40-E44</f>
        <v>177940</v>
      </c>
      <c r="F47" s="46">
        <f>B47-E47</f>
        <v>-62940</v>
      </c>
      <c r="G47" s="6"/>
      <c r="H47" s="38" t="s">
        <v>44</v>
      </c>
      <c r="I47" s="385">
        <f>I16</f>
        <v>97115.36</v>
      </c>
      <c r="J47" s="456" t="e">
        <f>+#REF!</f>
        <v>#REF!</v>
      </c>
      <c r="K47" s="84" t="e">
        <f t="shared" ref="K47:K52" si="4">I47-J47</f>
        <v>#REF!</v>
      </c>
      <c r="L47" s="66">
        <f>+L16</f>
        <v>68787</v>
      </c>
      <c r="M47" s="273">
        <f t="shared" si="3"/>
        <v>28328.36</v>
      </c>
      <c r="N47" s="2"/>
      <c r="O47" s="168"/>
      <c r="P47" s="457"/>
      <c r="Q47" s="431"/>
      <c r="R47" s="377"/>
      <c r="S47" s="44"/>
      <c r="T47" s="78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</row>
    <row r="48" spans="1:43" s="3" customFormat="1" x14ac:dyDescent="0.25">
      <c r="A48" s="21"/>
      <c r="B48" s="368"/>
      <c r="C48" s="393"/>
      <c r="D48" s="378"/>
      <c r="E48" s="22"/>
      <c r="F48" s="46"/>
      <c r="G48" s="6"/>
      <c r="H48" s="21" t="s">
        <v>21</v>
      </c>
      <c r="I48" s="385">
        <f>+P23</f>
        <v>91290.99</v>
      </c>
      <c r="J48" s="439">
        <f>+Q22</f>
        <v>53000</v>
      </c>
      <c r="K48" s="84">
        <f t="shared" si="4"/>
        <v>38290.990000000005</v>
      </c>
      <c r="L48" s="66">
        <f>+L17</f>
        <v>76987</v>
      </c>
      <c r="M48" s="273">
        <f t="shared" si="3"/>
        <v>14303.990000000005</v>
      </c>
      <c r="N48" s="2"/>
      <c r="O48" s="168" t="s">
        <v>7</v>
      </c>
      <c r="P48" s="518">
        <f>+P31+B4</f>
        <v>619643.94999999995</v>
      </c>
      <c r="Q48" s="433">
        <f>C4+Q31</f>
        <v>689669.02999999991</v>
      </c>
      <c r="R48" s="103">
        <f>P48-Q48</f>
        <v>-70025.079999999958</v>
      </c>
      <c r="S48" s="45">
        <f>E4+E31</f>
        <v>700564</v>
      </c>
      <c r="T48" s="79">
        <f>P48-S48</f>
        <v>-80920.050000000047</v>
      </c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</row>
    <row r="49" spans="1:43" s="3" customFormat="1" ht="15.75" thickBot="1" x14ac:dyDescent="0.3">
      <c r="A49" s="36" t="s">
        <v>45</v>
      </c>
      <c r="B49" s="380">
        <f>SUM(B43:B47)</f>
        <v>224155.65000000002</v>
      </c>
      <c r="C49" s="394">
        <f>C40</f>
        <v>237790.93609609368</v>
      </c>
      <c r="D49" s="381">
        <f>SUM(D44:D47)</f>
        <v>-13635.286096093638</v>
      </c>
      <c r="E49" s="53">
        <f>SUM(E43:E47)</f>
        <v>231963</v>
      </c>
      <c r="F49" s="76">
        <f>B49-E49</f>
        <v>-7807.3499999999767</v>
      </c>
      <c r="G49" s="7"/>
      <c r="H49" s="21" t="s">
        <v>24</v>
      </c>
      <c r="I49" s="514">
        <f>+P24</f>
        <v>0</v>
      </c>
      <c r="J49" s="439"/>
      <c r="K49" s="84">
        <f t="shared" si="4"/>
        <v>0</v>
      </c>
      <c r="L49" s="66">
        <f>+L18</f>
        <v>15000</v>
      </c>
      <c r="M49" s="273">
        <f t="shared" si="3"/>
        <v>-15000</v>
      </c>
      <c r="N49" s="2"/>
      <c r="O49" s="93" t="s">
        <v>10</v>
      </c>
      <c r="P49" s="389">
        <f>P32+B7</f>
        <v>666566.46</v>
      </c>
      <c r="Q49" s="438">
        <f>+Q32+C7</f>
        <v>568069.12606828124</v>
      </c>
      <c r="R49" s="24">
        <f>P49-Q49</f>
        <v>98497.33393171872</v>
      </c>
      <c r="S49" s="609">
        <f>E35+E7-28000</f>
        <v>638875</v>
      </c>
      <c r="T49" s="273">
        <f>P49-S49</f>
        <v>27691.459999999963</v>
      </c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</row>
    <row r="50" spans="1:43" x14ac:dyDescent="0.25">
      <c r="A50" s="39"/>
      <c r="B50" s="620"/>
      <c r="C50" s="7"/>
      <c r="D50" s="7"/>
      <c r="E50" s="7"/>
      <c r="F50" s="7"/>
      <c r="G50" s="6"/>
      <c r="H50" s="21" t="str">
        <f>H19</f>
        <v>RESTRICTED: Easy Voter (PLP)</v>
      </c>
      <c r="I50" s="382">
        <f>+P25</f>
        <v>0</v>
      </c>
      <c r="J50" s="439">
        <f>+J19</f>
        <v>0</v>
      </c>
      <c r="K50" s="84">
        <f t="shared" si="4"/>
        <v>0</v>
      </c>
      <c r="L50" s="63">
        <f>L19</f>
        <v>12898</v>
      </c>
      <c r="M50" s="273">
        <f t="shared" si="3"/>
        <v>-12898</v>
      </c>
      <c r="N50" s="2"/>
      <c r="O50" s="93" t="s">
        <v>46</v>
      </c>
      <c r="P50" s="389">
        <f>+B9</f>
        <v>-18000</v>
      </c>
      <c r="Q50" s="438">
        <f>+C9</f>
        <v>40300</v>
      </c>
      <c r="R50" s="24">
        <f>P50-Q50</f>
        <v>-58300</v>
      </c>
      <c r="S50" s="609">
        <f>+E9</f>
        <v>12589</v>
      </c>
      <c r="T50" s="273">
        <f>P50-S50</f>
        <v>-30589</v>
      </c>
    </row>
    <row r="51" spans="1:43" ht="15.75" thickBot="1" x14ac:dyDescent="0.3">
      <c r="A51" s="347" t="s">
        <v>47</v>
      </c>
      <c r="B51" s="347"/>
      <c r="C51" s="349"/>
      <c r="D51" s="347"/>
      <c r="E51" s="350"/>
      <c r="F51" s="399"/>
      <c r="G51" s="7"/>
      <c r="H51" s="87" t="s">
        <v>28</v>
      </c>
      <c r="I51" s="386">
        <f>SUM(I47:I50)</f>
        <v>188406.35</v>
      </c>
      <c r="J51" s="458" t="e">
        <f>SUM(J47:J50)</f>
        <v>#REF!</v>
      </c>
      <c r="K51" s="363" t="e">
        <f t="shared" si="4"/>
        <v>#REF!</v>
      </c>
      <c r="L51" s="610">
        <f>SUM(L47:L50)</f>
        <v>173672</v>
      </c>
      <c r="M51" s="454">
        <f>SUM(M47:M50)</f>
        <v>14734.350000000006</v>
      </c>
      <c r="N51" s="2"/>
      <c r="O51" s="93" t="s">
        <v>15</v>
      </c>
      <c r="P51" s="440">
        <f>P48-P49-P50</f>
        <v>-28922.510000000009</v>
      </c>
      <c r="Q51" s="441" t="e">
        <f>Q48-Q49+#REF!-Q50</f>
        <v>#REF!</v>
      </c>
      <c r="R51" s="48" t="e">
        <f>P51-Q51</f>
        <v>#REF!</v>
      </c>
      <c r="S51" s="47">
        <f>S48-S49-S50</f>
        <v>49100</v>
      </c>
      <c r="T51" s="440">
        <f>T48-T49-T50</f>
        <v>-78022.510000000009</v>
      </c>
    </row>
    <row r="52" spans="1:43" ht="15.75" thickBot="1" x14ac:dyDescent="0.3">
      <c r="A52" s="343"/>
      <c r="B52" s="344" t="s">
        <v>48</v>
      </c>
      <c r="C52" s="343"/>
      <c r="D52" s="343"/>
      <c r="E52" s="344" t="s">
        <v>49</v>
      </c>
      <c r="F52" s="347" t="s">
        <v>50</v>
      </c>
      <c r="G52" s="7"/>
      <c r="H52" s="36" t="s">
        <v>51</v>
      </c>
      <c r="I52" s="387">
        <f>+I51+I46</f>
        <v>399154.74</v>
      </c>
      <c r="J52" s="459" t="e">
        <f>+J51+J46</f>
        <v>#REF!</v>
      </c>
      <c r="K52" s="365" t="e">
        <f t="shared" si="4"/>
        <v>#REF!</v>
      </c>
      <c r="L52" s="611">
        <f>L51+L46</f>
        <v>494827</v>
      </c>
      <c r="M52" s="460">
        <f>I52-L52</f>
        <v>-95672.260000000009</v>
      </c>
      <c r="N52" s="2"/>
      <c r="O52" s="93"/>
      <c r="P52" s="435"/>
      <c r="Q52" s="438"/>
      <c r="R52" s="46"/>
      <c r="S52" s="25"/>
      <c r="T52" s="80"/>
    </row>
    <row r="53" spans="1:43" x14ac:dyDescent="0.25">
      <c r="A53" s="343"/>
      <c r="B53" s="345"/>
      <c r="C53" s="343"/>
      <c r="D53" s="343"/>
      <c r="E53" s="345"/>
      <c r="F53" s="343"/>
      <c r="G53" s="7"/>
      <c r="H53" s="6"/>
      <c r="I53" s="602">
        <f>+I52-I37</f>
        <v>-0.46000000007916242</v>
      </c>
      <c r="J53" s="60"/>
      <c r="K53" s="60"/>
      <c r="L53" s="452"/>
      <c r="M53" s="3"/>
      <c r="N53" s="2"/>
      <c r="O53" s="93" t="s">
        <v>16</v>
      </c>
      <c r="P53" s="435">
        <f>+S53</f>
        <v>218032</v>
      </c>
      <c r="Q53" s="438">
        <f>+Q36+C12</f>
        <v>253136</v>
      </c>
      <c r="R53" s="24">
        <f>Q53-S53</f>
        <v>35104</v>
      </c>
      <c r="S53" s="25">
        <f>E39+E12-57023</f>
        <v>218032</v>
      </c>
      <c r="T53" s="80">
        <f>P53-S53</f>
        <v>0</v>
      </c>
      <c r="V53" s="342"/>
    </row>
    <row r="54" spans="1:43" ht="15.75" thickBot="1" x14ac:dyDescent="0.3">
      <c r="A54" s="343"/>
      <c r="B54" s="346"/>
      <c r="C54" s="343"/>
      <c r="D54" s="343"/>
      <c r="E54" s="346"/>
      <c r="F54" s="351"/>
      <c r="G54" s="7"/>
      <c r="H54" s="92"/>
      <c r="I54" s="56"/>
      <c r="J54" s="127"/>
      <c r="K54" s="60"/>
      <c r="L54" s="452"/>
      <c r="M54" s="424"/>
      <c r="N54" s="2"/>
      <c r="O54" s="93" t="s">
        <v>17</v>
      </c>
      <c r="P54" s="444">
        <f>P51+P53</f>
        <v>189109.49</v>
      </c>
      <c r="Q54" s="441" t="e">
        <f>+Q51+Q53</f>
        <v>#REF!</v>
      </c>
      <c r="R54" s="356" t="e">
        <f>P54-Q54</f>
        <v>#REF!</v>
      </c>
      <c r="S54" s="34">
        <f>S51+S53</f>
        <v>267132</v>
      </c>
      <c r="T54" s="82">
        <f>P54-S54</f>
        <v>-78022.510000000009</v>
      </c>
    </row>
    <row r="55" spans="1:43" ht="15.75" thickTop="1" x14ac:dyDescent="0.25">
      <c r="A55" s="489"/>
      <c r="B55" s="346"/>
      <c r="C55" s="391"/>
      <c r="D55" s="343"/>
      <c r="E55" s="346"/>
      <c r="F55" s="351"/>
      <c r="G55" s="7"/>
      <c r="J55" s="354"/>
      <c r="K55" s="3"/>
      <c r="L55" s="3"/>
      <c r="M55" s="3"/>
      <c r="N55" s="2"/>
      <c r="O55" s="93"/>
      <c r="P55" s="446"/>
      <c r="Q55" s="445"/>
      <c r="R55" s="50"/>
      <c r="S55" s="7"/>
      <c r="T55" s="83"/>
    </row>
    <row r="56" spans="1:43" x14ac:dyDescent="0.25">
      <c r="A56" s="471" t="s">
        <v>52</v>
      </c>
      <c r="B56" s="472"/>
      <c r="C56" s="471"/>
      <c r="D56" s="471"/>
      <c r="E56" s="472"/>
      <c r="F56" s="351"/>
      <c r="G56" s="401"/>
      <c r="H56" s="92"/>
      <c r="I56" s="416"/>
      <c r="J56" s="3"/>
      <c r="K56" s="3"/>
      <c r="L56" s="452"/>
      <c r="M56" s="3"/>
      <c r="N56" s="2"/>
      <c r="O56" s="447" t="s">
        <v>18</v>
      </c>
      <c r="P56" s="446"/>
      <c r="Q56" s="445"/>
      <c r="R56" s="50"/>
      <c r="S56" s="7"/>
      <c r="T56" s="80"/>
    </row>
    <row r="57" spans="1:43" x14ac:dyDescent="0.25">
      <c r="A57" s="474" t="s">
        <v>53</v>
      </c>
      <c r="B57" s="475"/>
      <c r="C57" s="473"/>
      <c r="D57" s="473"/>
      <c r="E57" s="475"/>
      <c r="F57" s="476"/>
      <c r="G57" s="477"/>
      <c r="H57" s="478"/>
      <c r="I57" s="477"/>
      <c r="J57" s="477"/>
      <c r="K57" s="477"/>
      <c r="L57" s="477"/>
      <c r="M57" s="3"/>
      <c r="N57" s="2"/>
      <c r="O57" s="136" t="s">
        <v>39</v>
      </c>
      <c r="P57" s="448">
        <f>+I49</f>
        <v>0</v>
      </c>
      <c r="Q57" s="439">
        <v>0</v>
      </c>
      <c r="R57" s="378">
        <f>P57-Q57</f>
        <v>0</v>
      </c>
      <c r="S57" s="63">
        <f>+E43</f>
        <v>0</v>
      </c>
      <c r="T57" s="84">
        <f>P57-S57</f>
        <v>0</v>
      </c>
    </row>
    <row r="58" spans="1:43" x14ac:dyDescent="0.25">
      <c r="A58" s="490" t="s">
        <v>54</v>
      </c>
      <c r="B58" s="491"/>
      <c r="C58" s="490"/>
      <c r="D58" s="490"/>
      <c r="E58" s="491"/>
      <c r="F58" s="352"/>
      <c r="I58" s="416"/>
      <c r="J58" s="3"/>
      <c r="K58" s="3"/>
      <c r="L58" s="3"/>
      <c r="M58" s="3"/>
      <c r="N58" s="2"/>
      <c r="O58" s="93" t="str">
        <f>H40</f>
        <v>Strategic Initiative</v>
      </c>
      <c r="P58" s="448">
        <f>B17</f>
        <v>39047.230000000003</v>
      </c>
      <c r="Q58" s="438">
        <f>J40</f>
        <v>39046</v>
      </c>
      <c r="R58" s="24">
        <f>P58-Q58</f>
        <v>1.2300000000032014</v>
      </c>
      <c r="S58" s="22">
        <f>+E17</f>
        <v>39046</v>
      </c>
      <c r="T58" s="84">
        <f>P58-S58</f>
        <v>1.2300000000032014</v>
      </c>
    </row>
    <row r="59" spans="1:43" x14ac:dyDescent="0.25">
      <c r="A59" s="343"/>
      <c r="B59" s="346"/>
      <c r="C59" s="343"/>
      <c r="D59" s="343"/>
      <c r="E59" s="348"/>
      <c r="F59" s="352"/>
      <c r="J59" s="3"/>
      <c r="K59" s="3"/>
      <c r="L59" s="3"/>
      <c r="M59" s="3"/>
      <c r="N59" s="2"/>
      <c r="O59" s="93" t="s">
        <v>23</v>
      </c>
      <c r="P59" s="448">
        <f>+B46+B18</f>
        <v>26840.090000000026</v>
      </c>
      <c r="Q59" s="434">
        <f>C46+C18</f>
        <v>55904.306096093671</v>
      </c>
      <c r="R59" s="51">
        <f>P59-Q59</f>
        <v>-29064.216096093645</v>
      </c>
      <c r="S59" s="22">
        <f>E18+E46</f>
        <v>0</v>
      </c>
      <c r="T59" s="84">
        <f>P59-S59</f>
        <v>26840.090000000026</v>
      </c>
    </row>
    <row r="60" spans="1:43" x14ac:dyDescent="0.25">
      <c r="A60" s="343"/>
      <c r="B60" s="346"/>
      <c r="C60" s="343"/>
      <c r="D60" s="343"/>
      <c r="E60" s="346"/>
      <c r="F60" s="351"/>
      <c r="J60" s="3"/>
      <c r="K60" s="3"/>
      <c r="L60" s="3"/>
      <c r="M60" s="3"/>
      <c r="N60" s="2"/>
      <c r="O60" s="93" t="s">
        <v>25</v>
      </c>
      <c r="P60" s="448">
        <f>+P42+B19</f>
        <v>123221.8</v>
      </c>
      <c r="Q60" s="434">
        <f>+C47+C19</f>
        <v>184373.59783562497</v>
      </c>
      <c r="R60" s="378">
        <f>P60-Q60</f>
        <v>-61151.797835624966</v>
      </c>
      <c r="S60" s="22">
        <f>E47+E19</f>
        <v>228086</v>
      </c>
      <c r="T60" s="84">
        <f>P60-S60</f>
        <v>-104864.2</v>
      </c>
    </row>
    <row r="61" spans="1:43" ht="15.75" thickBot="1" x14ac:dyDescent="0.3">
      <c r="A61" s="608"/>
      <c r="B61" s="346"/>
      <c r="C61" s="343"/>
      <c r="D61" s="343"/>
      <c r="E61" s="346"/>
      <c r="F61" s="351"/>
      <c r="J61" s="3"/>
      <c r="K61" s="3"/>
      <c r="L61" s="3"/>
      <c r="M61" s="3"/>
      <c r="N61" s="2"/>
      <c r="O61" s="420" t="s">
        <v>27</v>
      </c>
      <c r="P61" s="450">
        <f>SUM(P58:P60)</f>
        <v>189109.12000000005</v>
      </c>
      <c r="Q61" s="451">
        <f>SUM(Q58:Q60)</f>
        <v>279323.90393171867</v>
      </c>
      <c r="R61" s="390">
        <f>SUM(R58:R60)</f>
        <v>-90214.783931718615</v>
      </c>
      <c r="S61" s="55">
        <f>SUM(S57:S60)</f>
        <v>267132</v>
      </c>
      <c r="T61" s="85">
        <f>SUM(T58:T60)</f>
        <v>-78022.879999999976</v>
      </c>
      <c r="U61" s="58"/>
      <c r="V61" s="58"/>
    </row>
    <row r="62" spans="1:43" x14ac:dyDescent="0.25">
      <c r="A62" s="347"/>
      <c r="B62" s="350"/>
      <c r="C62" s="347"/>
      <c r="D62" s="347"/>
      <c r="E62" s="350"/>
      <c r="F62" s="351"/>
      <c r="J62" s="3"/>
      <c r="K62" s="3"/>
      <c r="L62" s="3"/>
      <c r="M62" s="3"/>
      <c r="N62" s="2"/>
      <c r="O62" s="2"/>
      <c r="P62" s="60"/>
      <c r="Q62" s="60"/>
      <c r="R62" s="2"/>
      <c r="S62" s="7"/>
      <c r="T62" s="2"/>
      <c r="V62" s="58"/>
    </row>
    <row r="63" spans="1:43" x14ac:dyDescent="0.25">
      <c r="F63" s="350"/>
      <c r="J63" s="3"/>
      <c r="K63" s="3"/>
      <c r="L63" s="3"/>
      <c r="M63" s="2"/>
      <c r="N63" s="2"/>
      <c r="O63" s="2"/>
      <c r="P63" s="619">
        <f>+P61-P54</f>
        <v>-0.36999999993713573</v>
      </c>
      <c r="Q63" s="2"/>
      <c r="R63" s="2"/>
      <c r="S63" s="25"/>
      <c r="T63" s="2"/>
      <c r="V63" s="58"/>
    </row>
    <row r="64" spans="1:43" x14ac:dyDescent="0.25">
      <c r="J64" s="3"/>
      <c r="K64" s="3"/>
      <c r="L64" s="3"/>
      <c r="M64" s="2"/>
      <c r="N64" s="2"/>
      <c r="O64" s="2"/>
      <c r="P64" s="60"/>
      <c r="Q64" s="2"/>
      <c r="R64" s="2"/>
      <c r="S64" s="7"/>
      <c r="T64" s="2"/>
      <c r="AH64" s="462"/>
      <c r="AI64" s="462"/>
      <c r="AJ64" s="462"/>
      <c r="AK64" s="462"/>
      <c r="AL64" s="462"/>
      <c r="AM64" s="462"/>
      <c r="AN64" s="462"/>
      <c r="AO64" s="462"/>
      <c r="AP64" s="462"/>
      <c r="AQ64" s="462"/>
    </row>
    <row r="65" spans="1:43" x14ac:dyDescent="0.25">
      <c r="J65" s="3"/>
      <c r="K65" s="3"/>
      <c r="L65" s="3"/>
      <c r="M65" s="2"/>
      <c r="N65" s="2"/>
      <c r="O65" s="2"/>
      <c r="P65" s="60"/>
      <c r="Q65" s="3"/>
      <c r="R65" s="3"/>
      <c r="S65" s="7"/>
      <c r="T65" s="2"/>
      <c r="U65" s="2"/>
      <c r="V65" s="2"/>
      <c r="W65" s="2"/>
      <c r="X65" s="2"/>
      <c r="Y65" s="2"/>
      <c r="Z65" s="2"/>
      <c r="AA65" s="2"/>
      <c r="AH65" s="462"/>
      <c r="AI65" s="462"/>
      <c r="AJ65" s="462"/>
      <c r="AK65" s="462"/>
      <c r="AL65" s="462"/>
      <c r="AM65" s="462"/>
      <c r="AN65" s="462"/>
      <c r="AO65" s="462"/>
      <c r="AP65" s="462"/>
      <c r="AQ65" s="462"/>
    </row>
    <row r="66" spans="1:43" x14ac:dyDescent="0.25">
      <c r="J66" s="3"/>
      <c r="K66" s="3"/>
      <c r="L66" s="3"/>
      <c r="M66" s="2"/>
      <c r="N66" s="2"/>
      <c r="O66" s="2"/>
      <c r="P66" s="60"/>
      <c r="Q66" s="3"/>
      <c r="R66" s="3"/>
      <c r="S66" s="7"/>
      <c r="T66" s="2"/>
      <c r="U66" s="2"/>
      <c r="V66" s="2"/>
      <c r="W66" s="2"/>
      <c r="X66" s="2"/>
      <c r="Y66" s="2"/>
      <c r="Z66" s="2"/>
      <c r="AA66" s="2"/>
      <c r="AH66" s="462"/>
      <c r="AI66" s="462"/>
      <c r="AJ66" s="462"/>
      <c r="AK66" s="462"/>
      <c r="AL66" s="462"/>
      <c r="AM66" s="462"/>
      <c r="AN66" s="462"/>
      <c r="AO66" s="462"/>
      <c r="AP66" s="462"/>
      <c r="AQ66" s="462"/>
    </row>
    <row r="67" spans="1:43" x14ac:dyDescent="0.25">
      <c r="J67" s="3"/>
      <c r="K67" s="3"/>
      <c r="L67" s="3"/>
      <c r="M67" s="2"/>
      <c r="N67" s="2"/>
      <c r="O67" s="2"/>
      <c r="P67" s="60"/>
      <c r="Q67" s="3"/>
      <c r="R67" s="3"/>
      <c r="S67" s="7"/>
      <c r="T67" s="2"/>
      <c r="U67" s="2"/>
      <c r="V67" s="2"/>
      <c r="W67" s="2"/>
      <c r="X67" s="2"/>
      <c r="Y67" s="2"/>
      <c r="Z67" s="2"/>
      <c r="AA67" s="2"/>
      <c r="AH67" s="462"/>
      <c r="AI67" s="462"/>
      <c r="AJ67" s="462"/>
      <c r="AK67" s="462"/>
      <c r="AL67" s="462"/>
      <c r="AM67" s="462"/>
      <c r="AN67" s="462"/>
      <c r="AO67" s="462"/>
      <c r="AP67" s="462"/>
      <c r="AQ67" s="462"/>
    </row>
    <row r="68" spans="1:43" x14ac:dyDescent="0.25">
      <c r="J68" s="3"/>
      <c r="K68" s="3"/>
      <c r="L68" s="3"/>
      <c r="M68" s="2"/>
      <c r="N68" s="2"/>
      <c r="O68" s="2"/>
      <c r="P68" s="60"/>
      <c r="Q68" s="3"/>
      <c r="R68" s="3"/>
      <c r="S68" s="2"/>
      <c r="T68" s="2"/>
      <c r="U68" s="2"/>
      <c r="V68" s="2"/>
      <c r="W68" s="2"/>
      <c r="X68" s="2"/>
      <c r="Y68" s="2"/>
      <c r="Z68" s="2"/>
      <c r="AA68" s="2"/>
      <c r="AH68" s="462"/>
      <c r="AI68" s="462"/>
      <c r="AJ68" s="462"/>
      <c r="AK68" s="462"/>
      <c r="AL68" s="462"/>
      <c r="AM68" s="462"/>
      <c r="AN68" s="462"/>
      <c r="AO68" s="462"/>
      <c r="AP68" s="462"/>
      <c r="AQ68" s="462"/>
    </row>
    <row r="69" spans="1:43" x14ac:dyDescent="0.25">
      <c r="J69" s="3"/>
      <c r="K69" s="3"/>
      <c r="L69" s="3"/>
      <c r="M69" s="2"/>
      <c r="N69" s="2"/>
      <c r="O69" s="2"/>
      <c r="P69" s="60"/>
      <c r="Q69" s="3"/>
      <c r="R69" s="3"/>
      <c r="S69" s="2"/>
      <c r="T69" s="2"/>
      <c r="U69" s="2"/>
      <c r="V69" s="2"/>
      <c r="W69" s="2"/>
      <c r="X69" s="2"/>
      <c r="Y69" s="2"/>
      <c r="Z69" s="2"/>
      <c r="AA69" s="2"/>
      <c r="AH69" s="462"/>
      <c r="AI69" s="462"/>
      <c r="AJ69" s="462"/>
      <c r="AK69" s="462"/>
      <c r="AL69" s="462"/>
      <c r="AM69" s="462"/>
      <c r="AN69" s="462"/>
      <c r="AO69" s="462"/>
      <c r="AP69" s="462"/>
      <c r="AQ69" s="462"/>
    </row>
    <row r="70" spans="1:43" x14ac:dyDescent="0.25">
      <c r="J70" s="3"/>
      <c r="K70" s="3"/>
      <c r="L70" s="3"/>
      <c r="M70" s="2"/>
      <c r="N70" s="2"/>
      <c r="O70" s="2"/>
      <c r="P70" s="60"/>
      <c r="Q70" s="3"/>
      <c r="R70" s="3"/>
      <c r="S70" s="2"/>
      <c r="T70" s="2"/>
      <c r="U70" s="2"/>
      <c r="V70" s="2"/>
      <c r="W70" s="2"/>
      <c r="X70" s="2"/>
      <c r="Y70" s="2"/>
      <c r="Z70" s="2"/>
      <c r="AA70" s="2"/>
      <c r="AH70" s="462"/>
      <c r="AI70" s="462"/>
      <c r="AJ70" s="462"/>
      <c r="AK70" s="462"/>
      <c r="AL70" s="462"/>
      <c r="AM70" s="462"/>
      <c r="AN70" s="462"/>
      <c r="AO70" s="462"/>
      <c r="AP70" s="462"/>
      <c r="AQ70" s="462"/>
    </row>
    <row r="71" spans="1:43" x14ac:dyDescent="0.25">
      <c r="J71" s="3"/>
      <c r="K71" s="3"/>
      <c r="L71" s="3"/>
      <c r="M71" s="2"/>
      <c r="N71" s="2"/>
      <c r="O71" s="2"/>
      <c r="P71" s="60"/>
      <c r="Q71" s="3"/>
      <c r="R71" s="3"/>
      <c r="S71" s="2"/>
      <c r="T71" s="2"/>
      <c r="U71" s="2"/>
      <c r="V71" s="2"/>
      <c r="W71" s="2"/>
      <c r="X71" s="2"/>
      <c r="Y71" s="2"/>
      <c r="Z71" s="2"/>
      <c r="AA71" s="2"/>
      <c r="AH71" s="462"/>
      <c r="AI71" s="462"/>
      <c r="AJ71" s="462"/>
      <c r="AK71" s="462"/>
      <c r="AL71" s="462"/>
      <c r="AM71" s="462"/>
      <c r="AN71" s="462"/>
      <c r="AO71" s="462"/>
      <c r="AP71" s="462"/>
      <c r="AQ71" s="462"/>
    </row>
    <row r="72" spans="1:43" x14ac:dyDescent="0.25">
      <c r="J72" s="3"/>
      <c r="K72" s="3"/>
      <c r="L72" s="3"/>
      <c r="M72" s="2"/>
      <c r="N72" s="2"/>
      <c r="O72" s="2"/>
      <c r="P72" s="60"/>
      <c r="Q72" s="3"/>
      <c r="R72" s="3"/>
      <c r="S72" s="2"/>
      <c r="T72" s="2"/>
      <c r="U72" s="2"/>
      <c r="V72" s="2"/>
      <c r="W72" s="2"/>
      <c r="X72" s="2"/>
      <c r="Y72" s="2"/>
      <c r="Z72" s="2"/>
      <c r="AA72" s="2"/>
      <c r="AH72" s="462"/>
      <c r="AI72" s="462"/>
      <c r="AJ72" s="462"/>
      <c r="AK72" s="462"/>
      <c r="AL72" s="462"/>
      <c r="AM72" s="462"/>
      <c r="AN72" s="462"/>
      <c r="AO72" s="462"/>
      <c r="AP72" s="462"/>
      <c r="AQ72" s="462"/>
    </row>
    <row r="73" spans="1:43" x14ac:dyDescent="0.25">
      <c r="J73" s="3"/>
      <c r="K73" s="3"/>
      <c r="L73" s="3"/>
      <c r="M73" s="2"/>
      <c r="N73" s="2"/>
      <c r="O73" s="2"/>
      <c r="P73" s="60"/>
      <c r="Q73" s="3"/>
      <c r="R73" s="3"/>
      <c r="S73" s="2"/>
      <c r="T73" s="2"/>
      <c r="U73" s="2"/>
      <c r="V73" s="2"/>
      <c r="W73" s="2"/>
      <c r="X73" s="2"/>
      <c r="Y73" s="2"/>
      <c r="Z73" s="2"/>
      <c r="AA73" s="2"/>
      <c r="AH73" s="462"/>
      <c r="AI73" s="462"/>
      <c r="AJ73" s="462"/>
      <c r="AK73" s="462"/>
      <c r="AL73" s="462"/>
      <c r="AM73" s="462"/>
      <c r="AN73" s="462"/>
      <c r="AO73" s="462"/>
      <c r="AP73" s="462"/>
      <c r="AQ73" s="462"/>
    </row>
    <row r="74" spans="1:43" x14ac:dyDescent="0.25">
      <c r="J74" s="3"/>
      <c r="K74" s="3"/>
      <c r="L74" s="3"/>
      <c r="M74" s="2"/>
      <c r="N74" s="2"/>
      <c r="O74" s="2"/>
      <c r="P74" s="60"/>
      <c r="Q74" s="3"/>
      <c r="R74" s="3"/>
      <c r="S74" s="2"/>
      <c r="T74" s="2"/>
      <c r="U74" s="2"/>
      <c r="V74" s="2"/>
      <c r="W74" s="2"/>
      <c r="X74" s="2"/>
      <c r="Y74" s="2"/>
      <c r="Z74" s="2"/>
      <c r="AA74" s="2"/>
      <c r="AH74" s="462"/>
      <c r="AI74" s="462"/>
      <c r="AJ74" s="462"/>
      <c r="AK74" s="462"/>
      <c r="AL74" s="462"/>
      <c r="AM74" s="462"/>
      <c r="AN74" s="462"/>
      <c r="AO74" s="462"/>
      <c r="AP74" s="462"/>
      <c r="AQ74" s="462"/>
    </row>
    <row r="75" spans="1:43" x14ac:dyDescent="0.25">
      <c r="J75" s="3"/>
      <c r="K75" s="3"/>
      <c r="L75" s="3"/>
      <c r="M75" s="2"/>
      <c r="N75" s="2"/>
      <c r="O75" s="2"/>
      <c r="P75" s="60"/>
      <c r="Q75" s="3"/>
      <c r="R75" s="3"/>
      <c r="S75" s="2"/>
      <c r="T75" s="2"/>
      <c r="U75" s="2"/>
      <c r="V75" s="2"/>
      <c r="W75" s="2"/>
      <c r="X75" s="2"/>
      <c r="Y75" s="2"/>
      <c r="Z75" s="2"/>
      <c r="AA75" s="2"/>
      <c r="AH75" s="462"/>
      <c r="AI75" s="462"/>
      <c r="AJ75" s="462"/>
      <c r="AK75" s="462"/>
      <c r="AL75" s="462"/>
      <c r="AM75" s="462"/>
      <c r="AN75" s="462"/>
      <c r="AO75" s="462"/>
      <c r="AP75" s="462"/>
      <c r="AQ75" s="462"/>
    </row>
    <row r="76" spans="1:43" ht="15.75" thickBot="1" x14ac:dyDescent="0.3">
      <c r="A76" s="462" t="s">
        <v>55</v>
      </c>
      <c r="J76" s="3"/>
      <c r="K76" s="3"/>
      <c r="L76" s="3"/>
      <c r="M76" s="3"/>
      <c r="N76" s="2"/>
      <c r="O76" s="2"/>
      <c r="P76" s="60"/>
      <c r="Q76" s="3"/>
      <c r="U76" s="2"/>
      <c r="V76" s="2"/>
      <c r="W76" s="2"/>
      <c r="X76" s="2"/>
      <c r="Y76" s="2"/>
      <c r="Z76" s="2"/>
      <c r="AA76" s="2"/>
      <c r="AH76" s="462"/>
      <c r="AI76" s="462"/>
      <c r="AJ76" s="462"/>
      <c r="AK76" s="462"/>
      <c r="AL76" s="462"/>
      <c r="AM76" s="462"/>
      <c r="AN76" s="462"/>
      <c r="AO76" s="462"/>
      <c r="AP76" s="462"/>
      <c r="AQ76" s="462"/>
    </row>
    <row r="77" spans="1:43" x14ac:dyDescent="0.25">
      <c r="A77" s="479"/>
      <c r="B77" s="480"/>
      <c r="C77" s="480"/>
      <c r="D77" s="480"/>
      <c r="E77" s="480"/>
      <c r="F77" s="218"/>
      <c r="J77" s="3"/>
      <c r="K77" s="3"/>
      <c r="L77" s="3"/>
      <c r="M77" s="3"/>
      <c r="N77" s="2"/>
      <c r="O77" s="2"/>
      <c r="P77" s="60"/>
      <c r="Q77" s="3"/>
      <c r="U77" s="2"/>
      <c r="V77" s="2"/>
      <c r="W77" s="2"/>
      <c r="X77" s="2"/>
      <c r="Y77" s="2"/>
      <c r="Z77" s="2"/>
      <c r="AA77" s="2"/>
    </row>
    <row r="78" spans="1:43" x14ac:dyDescent="0.25">
      <c r="A78" s="90"/>
      <c r="B78" s="401"/>
      <c r="C78" s="401"/>
      <c r="D78" s="401"/>
      <c r="E78" s="401"/>
      <c r="F78" s="72"/>
      <c r="J78" s="3"/>
      <c r="K78" s="3"/>
      <c r="L78" s="3"/>
      <c r="M78" s="3"/>
      <c r="N78" s="2"/>
      <c r="O78" s="2"/>
      <c r="P78" s="2"/>
      <c r="Q78" s="3"/>
    </row>
    <row r="79" spans="1:43" x14ac:dyDescent="0.25">
      <c r="A79" s="134" t="s">
        <v>32</v>
      </c>
      <c r="B79" s="263" t="s">
        <v>56</v>
      </c>
      <c r="C79" s="263"/>
      <c r="D79" s="263"/>
      <c r="E79" s="263" t="s">
        <v>49</v>
      </c>
      <c r="F79" s="262" t="s">
        <v>50</v>
      </c>
      <c r="J79" s="3"/>
      <c r="K79" s="3"/>
      <c r="L79" s="3"/>
      <c r="M79" s="3"/>
      <c r="N79" s="2"/>
      <c r="O79" s="2"/>
      <c r="P79" s="2"/>
      <c r="Q79" s="3"/>
    </row>
    <row r="80" spans="1:43" x14ac:dyDescent="0.25">
      <c r="A80" s="93" t="s">
        <v>57</v>
      </c>
      <c r="B80" s="153">
        <v>237791</v>
      </c>
      <c r="C80" s="153"/>
      <c r="D80" s="153"/>
      <c r="E80" s="153">
        <f>B39</f>
        <v>227786</v>
      </c>
      <c r="F80" s="481">
        <f>+E80-B80</f>
        <v>-10005</v>
      </c>
      <c r="H80" s="353"/>
      <c r="J80" s="3"/>
      <c r="K80" s="3"/>
      <c r="L80" s="3"/>
      <c r="M80" s="3"/>
      <c r="N80" s="2"/>
    </row>
    <row r="81" spans="1:14" x14ac:dyDescent="0.25">
      <c r="A81" s="93" t="s">
        <v>38</v>
      </c>
      <c r="B81" s="153">
        <v>50683</v>
      </c>
      <c r="C81" s="153"/>
      <c r="D81" s="153"/>
      <c r="E81" s="153">
        <v>57023.37</v>
      </c>
      <c r="F81" s="481">
        <f>+E81-B81</f>
        <v>6340.3700000000026</v>
      </c>
      <c r="H81" s="353"/>
      <c r="N81" s="2"/>
    </row>
    <row r="82" spans="1:14" x14ac:dyDescent="0.25">
      <c r="A82" s="93" t="s">
        <v>58</v>
      </c>
      <c r="B82" s="153">
        <v>11204</v>
      </c>
      <c r="C82" s="153"/>
      <c r="D82" s="153"/>
      <c r="E82" s="153">
        <v>0</v>
      </c>
      <c r="F82" s="481">
        <f>+E82-B82</f>
        <v>-11204</v>
      </c>
      <c r="H82" s="462" t="s">
        <v>59</v>
      </c>
    </row>
    <row r="83" spans="1:14" x14ac:dyDescent="0.25">
      <c r="A83" s="93" t="s">
        <v>25</v>
      </c>
      <c r="B83" s="153">
        <v>145000</v>
      </c>
      <c r="C83" s="153"/>
      <c r="D83" s="153"/>
      <c r="E83" s="153">
        <v>95480.42</v>
      </c>
      <c r="F83" s="481">
        <f>+E83-B83</f>
        <v>-49519.58</v>
      </c>
    </row>
    <row r="84" spans="1:14" x14ac:dyDescent="0.25">
      <c r="A84" s="93" t="s">
        <v>23</v>
      </c>
      <c r="B84" s="153">
        <v>30904</v>
      </c>
      <c r="C84" s="153"/>
      <c r="D84" s="153"/>
      <c r="E84" s="153">
        <v>21353.46</v>
      </c>
      <c r="F84" s="481">
        <f>+E84-B84</f>
        <v>-9550.5400000000009</v>
      </c>
    </row>
    <row r="85" spans="1:14" x14ac:dyDescent="0.25">
      <c r="A85" s="90"/>
      <c r="B85" s="401"/>
      <c r="C85" s="401"/>
      <c r="D85" s="401"/>
      <c r="E85" s="58"/>
      <c r="F85" s="72"/>
    </row>
    <row r="86" spans="1:14" x14ac:dyDescent="0.25">
      <c r="A86" s="32" t="s">
        <v>60</v>
      </c>
      <c r="B86" s="263" t="s">
        <v>56</v>
      </c>
      <c r="C86" s="263"/>
      <c r="D86" s="263"/>
      <c r="E86" s="263" t="s">
        <v>49</v>
      </c>
      <c r="F86" s="262" t="s">
        <v>50</v>
      </c>
    </row>
    <row r="87" spans="1:14" x14ac:dyDescent="0.25">
      <c r="A87" s="93" t="s">
        <v>57</v>
      </c>
      <c r="B87" s="493">
        <v>220747</v>
      </c>
      <c r="C87" s="494"/>
      <c r="D87" s="494"/>
      <c r="E87" s="495">
        <f>P12</f>
        <v>237430</v>
      </c>
      <c r="F87" s="481">
        <f t="shared" ref="F87:F93" si="5">+E87-B87</f>
        <v>16683</v>
      </c>
    </row>
    <row r="88" spans="1:14" x14ac:dyDescent="0.25">
      <c r="A88" s="93" t="s">
        <v>61</v>
      </c>
      <c r="B88" s="153">
        <v>64329</v>
      </c>
      <c r="C88" s="2"/>
      <c r="D88" s="2"/>
      <c r="E88" s="60">
        <v>104706</v>
      </c>
      <c r="F88" s="482">
        <f t="shared" si="5"/>
        <v>40377</v>
      </c>
      <c r="H88" s="462" t="s">
        <v>62</v>
      </c>
    </row>
    <row r="89" spans="1:14" x14ac:dyDescent="0.25">
      <c r="A89" s="93" t="s">
        <v>63</v>
      </c>
      <c r="B89" s="153">
        <v>53000</v>
      </c>
      <c r="C89" s="2"/>
      <c r="D89" s="2"/>
      <c r="E89" s="60">
        <v>70454.559999999998</v>
      </c>
      <c r="F89" s="481">
        <f t="shared" si="5"/>
        <v>17454.559999999998</v>
      </c>
      <c r="H89" s="462" t="s">
        <v>64</v>
      </c>
    </row>
    <row r="90" spans="1:14" x14ac:dyDescent="0.25">
      <c r="A90" s="93" t="s">
        <v>39</v>
      </c>
      <c r="B90" s="153"/>
      <c r="C90" s="2"/>
      <c r="D90" s="2"/>
      <c r="E90" s="126">
        <v>15000</v>
      </c>
      <c r="F90" s="484">
        <f t="shared" si="5"/>
        <v>15000</v>
      </c>
      <c r="H90" s="462" t="s">
        <v>65</v>
      </c>
    </row>
    <row r="91" spans="1:14" x14ac:dyDescent="0.25">
      <c r="A91" s="93" t="s">
        <v>66</v>
      </c>
      <c r="B91" s="153">
        <v>39047</v>
      </c>
      <c r="C91" s="2"/>
      <c r="D91" s="2"/>
      <c r="E91" s="60">
        <v>39047</v>
      </c>
      <c r="F91" s="104">
        <f t="shared" si="5"/>
        <v>0</v>
      </c>
    </row>
    <row r="92" spans="1:14" x14ac:dyDescent="0.25">
      <c r="A92" s="93" t="s">
        <v>25</v>
      </c>
      <c r="B92" s="153">
        <v>39371</v>
      </c>
      <c r="C92" s="2"/>
      <c r="D92" s="2"/>
      <c r="E92" s="60">
        <v>8222</v>
      </c>
      <c r="F92" s="481">
        <f t="shared" si="5"/>
        <v>-31149</v>
      </c>
    </row>
    <row r="93" spans="1:14" x14ac:dyDescent="0.25">
      <c r="A93" s="93" t="s">
        <v>67</v>
      </c>
      <c r="B93" s="153">
        <f>220747-195747</f>
        <v>25000</v>
      </c>
      <c r="C93" s="2"/>
      <c r="D93" s="2"/>
      <c r="E93" s="60">
        <v>0</v>
      </c>
      <c r="F93" s="482">
        <f t="shared" si="5"/>
        <v>-25000</v>
      </c>
      <c r="H93" s="462" t="s">
        <v>62</v>
      </c>
    </row>
    <row r="94" spans="1:14" ht="15.75" thickBot="1" x14ac:dyDescent="0.3">
      <c r="A94" s="147"/>
      <c r="B94" s="232"/>
      <c r="C94" s="232"/>
      <c r="D94" s="232"/>
      <c r="E94" s="237"/>
      <c r="F94" s="483"/>
    </row>
  </sheetData>
  <pageMargins left="0.25" right="0.25" top="0.25" bottom="0.25" header="0.3" footer="0.3"/>
  <pageSetup paperSize="5" scale="50" orientation="landscape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AF105"/>
  <sheetViews>
    <sheetView workbookViewId="0">
      <pane xSplit="7" ySplit="1" topLeftCell="H2" activePane="bottomRight" state="frozenSplit"/>
      <selection pane="topRight" activeCell="H1" sqref="H1"/>
      <selection pane="bottomLeft" activeCell="A2" sqref="A2"/>
      <selection pane="bottomRight" activeCell="AG30" sqref="AG30"/>
    </sheetView>
  </sheetViews>
  <sheetFormatPr defaultRowHeight="15" x14ac:dyDescent="0.25"/>
  <cols>
    <col min="1" max="6" width="3" style="318" customWidth="1"/>
    <col min="7" max="7" width="27.7109375" style="318" customWidth="1"/>
    <col min="8" max="8" width="9.28515625" style="319" bestFit="1" customWidth="1"/>
    <col min="9" max="9" width="2.28515625" style="319" customWidth="1"/>
    <col min="10" max="10" width="10" style="319" customWidth="1"/>
    <col min="11" max="11" width="2.28515625" style="319" customWidth="1"/>
    <col min="12" max="12" width="10.42578125" style="319" customWidth="1"/>
    <col min="13" max="13" width="2.28515625" style="319" customWidth="1"/>
    <col min="14" max="14" width="9.7109375" style="319" customWidth="1"/>
    <col min="15" max="15" width="2.28515625" style="319" customWidth="1"/>
    <col min="16" max="16" width="9.28515625" style="319" bestFit="1" customWidth="1"/>
    <col min="17" max="17" width="2.28515625" style="319" customWidth="1"/>
    <col min="18" max="18" width="9.28515625" style="319" bestFit="1" customWidth="1"/>
    <col min="19" max="19" width="2.28515625" style="319" customWidth="1"/>
    <col min="20" max="20" width="10.42578125" style="319" customWidth="1"/>
    <col min="21" max="21" width="2.28515625" style="319" customWidth="1"/>
    <col min="22" max="22" width="10" style="319" customWidth="1"/>
    <col min="23" max="23" width="2.28515625" style="319" customWidth="1"/>
    <col min="24" max="24" width="10.140625" style="319" customWidth="1"/>
    <col min="25" max="25" width="2.28515625" style="319" customWidth="1"/>
    <col min="26" max="26" width="9.28515625" style="319" bestFit="1" customWidth="1"/>
    <col min="27" max="27" width="2.28515625" style="319" customWidth="1"/>
    <col min="28" max="28" width="9.28515625" style="319" bestFit="1" customWidth="1"/>
    <col min="29" max="29" width="2.28515625" style="319" customWidth="1"/>
    <col min="30" max="30" width="9.28515625" style="319" bestFit="1" customWidth="1"/>
    <col min="31" max="31" width="9.85546875" bestFit="1" customWidth="1"/>
  </cols>
  <sheetData>
    <row r="1" spans="1:30" s="311" customFormat="1" ht="15.75" thickBot="1" x14ac:dyDescent="0.3">
      <c r="A1" s="465"/>
      <c r="B1" s="465"/>
      <c r="C1" s="465"/>
      <c r="D1" s="465"/>
      <c r="E1" s="465"/>
      <c r="F1" s="465"/>
      <c r="G1" s="465"/>
      <c r="H1" s="341" t="s">
        <v>228</v>
      </c>
      <c r="I1" s="310"/>
      <c r="J1" s="341" t="s">
        <v>229</v>
      </c>
      <c r="K1" s="310"/>
      <c r="L1" s="341" t="s">
        <v>230</v>
      </c>
      <c r="M1" s="310"/>
      <c r="N1" s="341" t="s">
        <v>231</v>
      </c>
      <c r="O1" s="310"/>
      <c r="P1" s="341" t="s">
        <v>232</v>
      </c>
      <c r="Q1" s="310"/>
      <c r="R1" s="341" t="s">
        <v>233</v>
      </c>
      <c r="S1" s="310"/>
      <c r="T1" s="341" t="s">
        <v>234</v>
      </c>
      <c r="U1" s="310"/>
      <c r="V1" s="341" t="s">
        <v>235</v>
      </c>
      <c r="W1" s="310"/>
      <c r="X1" s="341" t="s">
        <v>236</v>
      </c>
      <c r="Y1" s="310"/>
      <c r="Z1" s="341" t="s">
        <v>237</v>
      </c>
      <c r="AA1" s="310"/>
      <c r="AB1" s="341" t="s">
        <v>498</v>
      </c>
      <c r="AC1" s="310"/>
      <c r="AD1" s="341" t="s">
        <v>509</v>
      </c>
    </row>
    <row r="2" spans="1:30" ht="15.75" thickTop="1" x14ac:dyDescent="0.25">
      <c r="A2" s="485" t="s">
        <v>238</v>
      </c>
      <c r="B2" s="485"/>
      <c r="C2" s="485"/>
      <c r="D2" s="485"/>
      <c r="E2" s="485"/>
      <c r="F2" s="485"/>
      <c r="G2" s="485"/>
      <c r="H2" s="468"/>
      <c r="I2" s="312"/>
      <c r="J2" s="468"/>
      <c r="K2" s="312"/>
      <c r="L2" s="468"/>
      <c r="M2" s="312"/>
      <c r="N2" s="468"/>
      <c r="O2" s="312"/>
      <c r="P2" s="468"/>
      <c r="Q2" s="312"/>
      <c r="R2" s="468"/>
      <c r="S2" s="312"/>
      <c r="T2" s="468"/>
      <c r="U2" s="312"/>
      <c r="V2" s="468"/>
      <c r="W2" s="312"/>
      <c r="X2" s="468"/>
      <c r="Y2" s="312"/>
      <c r="Z2" s="468"/>
      <c r="AA2" s="312"/>
      <c r="AB2" s="468"/>
      <c r="AC2" s="312"/>
      <c r="AD2" s="468"/>
    </row>
    <row r="3" spans="1:30" x14ac:dyDescent="0.25">
      <c r="A3" s="485"/>
      <c r="B3" s="485" t="s">
        <v>239</v>
      </c>
      <c r="C3" s="485"/>
      <c r="D3" s="485"/>
      <c r="E3" s="485"/>
      <c r="F3" s="485"/>
      <c r="G3" s="485"/>
      <c r="H3" s="468"/>
      <c r="I3" s="312"/>
      <c r="J3" s="468"/>
      <c r="K3" s="312"/>
      <c r="L3" s="468"/>
      <c r="M3" s="312"/>
      <c r="N3" s="468"/>
      <c r="O3" s="312"/>
      <c r="P3" s="468"/>
      <c r="Q3" s="312"/>
      <c r="R3" s="468"/>
      <c r="S3" s="312"/>
      <c r="T3" s="468"/>
      <c r="U3" s="312"/>
      <c r="V3" s="468"/>
      <c r="W3" s="312"/>
      <c r="X3" s="468"/>
      <c r="Y3" s="312"/>
      <c r="Z3" s="468"/>
      <c r="AA3" s="312"/>
      <c r="AB3" s="468"/>
      <c r="AC3" s="312"/>
      <c r="AD3" s="468"/>
    </row>
    <row r="4" spans="1:30" x14ac:dyDescent="0.25">
      <c r="A4" s="485"/>
      <c r="B4" s="485"/>
      <c r="C4" s="485" t="s">
        <v>240</v>
      </c>
      <c r="D4" s="485"/>
      <c r="E4" s="485"/>
      <c r="F4" s="485"/>
      <c r="G4" s="485"/>
      <c r="H4" s="468"/>
      <c r="I4" s="312"/>
      <c r="J4" s="468"/>
      <c r="K4" s="312"/>
      <c r="L4" s="468"/>
      <c r="M4" s="312"/>
      <c r="N4" s="468"/>
      <c r="O4" s="312"/>
      <c r="P4" s="468"/>
      <c r="Q4" s="312"/>
      <c r="R4" s="468"/>
      <c r="S4" s="312"/>
      <c r="T4" s="468"/>
      <c r="U4" s="312"/>
      <c r="V4" s="468"/>
      <c r="W4" s="312"/>
      <c r="X4" s="468"/>
      <c r="Y4" s="312"/>
      <c r="Z4" s="468"/>
      <c r="AA4" s="312"/>
      <c r="AB4" s="468"/>
      <c r="AC4" s="312"/>
      <c r="AD4" s="468"/>
    </row>
    <row r="5" spans="1:30" x14ac:dyDescent="0.25">
      <c r="A5" s="485"/>
      <c r="B5" s="485"/>
      <c r="C5" s="485"/>
      <c r="D5" s="485" t="s">
        <v>420</v>
      </c>
      <c r="E5" s="485"/>
      <c r="F5" s="485"/>
      <c r="G5" s="485"/>
      <c r="H5" s="468"/>
      <c r="I5" s="312"/>
      <c r="J5" s="468"/>
      <c r="K5" s="312"/>
      <c r="L5" s="468"/>
      <c r="M5" s="312"/>
      <c r="N5" s="468"/>
      <c r="O5" s="312"/>
      <c r="P5" s="468"/>
      <c r="Q5" s="312"/>
      <c r="R5" s="468"/>
      <c r="S5" s="312"/>
      <c r="T5" s="468"/>
      <c r="U5" s="312"/>
      <c r="V5" s="468"/>
      <c r="W5" s="312"/>
      <c r="X5" s="468"/>
      <c r="Y5" s="312"/>
      <c r="Z5" s="468"/>
      <c r="AA5" s="312"/>
      <c r="AB5" s="468"/>
      <c r="AC5" s="312"/>
      <c r="AD5" s="468"/>
    </row>
    <row r="6" spans="1:30" ht="15.75" thickBot="1" x14ac:dyDescent="0.3">
      <c r="A6" s="485"/>
      <c r="B6" s="485"/>
      <c r="C6" s="485"/>
      <c r="D6" s="485"/>
      <c r="E6" s="485" t="s">
        <v>421</v>
      </c>
      <c r="F6" s="485"/>
      <c r="G6" s="485"/>
      <c r="H6" s="313">
        <v>230102.77</v>
      </c>
      <c r="I6" s="312"/>
      <c r="J6" s="313">
        <v>186714.37</v>
      </c>
      <c r="K6" s="312"/>
      <c r="L6" s="313">
        <v>203900.85</v>
      </c>
      <c r="M6" s="312"/>
      <c r="N6" s="313">
        <v>204123.85</v>
      </c>
      <c r="O6" s="312"/>
      <c r="P6" s="313">
        <v>106412.36</v>
      </c>
      <c r="Q6" s="312"/>
      <c r="R6" s="313">
        <v>108157.96</v>
      </c>
      <c r="S6" s="312"/>
      <c r="T6" s="313">
        <v>151592</v>
      </c>
      <c r="U6" s="312"/>
      <c r="V6" s="313">
        <v>212201.42</v>
      </c>
      <c r="W6" s="312"/>
      <c r="X6" s="313">
        <v>241568.92</v>
      </c>
      <c r="Y6" s="312"/>
      <c r="Z6" s="313">
        <v>185683.98</v>
      </c>
      <c r="AA6" s="312"/>
      <c r="AB6" s="313">
        <v>234666.37</v>
      </c>
      <c r="AC6" s="312"/>
      <c r="AD6" s="313">
        <v>238293.3</v>
      </c>
    </row>
    <row r="7" spans="1:30" x14ac:dyDescent="0.25">
      <c r="A7" s="485"/>
      <c r="B7" s="485"/>
      <c r="C7" s="485"/>
      <c r="D7" s="485" t="s">
        <v>422</v>
      </c>
      <c r="E7" s="485"/>
      <c r="F7" s="485"/>
      <c r="G7" s="485"/>
      <c r="H7" s="468">
        <f>ROUND(SUM(H5:H6),5)</f>
        <v>230102.77</v>
      </c>
      <c r="I7" s="312"/>
      <c r="J7" s="468">
        <f>ROUND(SUM(J5:J6),5)</f>
        <v>186714.37</v>
      </c>
      <c r="K7" s="312"/>
      <c r="L7" s="468">
        <f>ROUND(SUM(L5:L6),5)</f>
        <v>203900.85</v>
      </c>
      <c r="M7" s="312"/>
      <c r="N7" s="468">
        <f>ROUND(SUM(N5:N6),5)</f>
        <v>204123.85</v>
      </c>
      <c r="O7" s="312"/>
      <c r="P7" s="468">
        <f>ROUND(SUM(P5:P6),5)</f>
        <v>106412.36</v>
      </c>
      <c r="Q7" s="312"/>
      <c r="R7" s="468">
        <f>ROUND(SUM(R5:R6),5)</f>
        <v>108157.96</v>
      </c>
      <c r="S7" s="312"/>
      <c r="T7" s="468">
        <f>ROUND(SUM(T5:T6),5)</f>
        <v>151592</v>
      </c>
      <c r="U7" s="312"/>
      <c r="V7" s="468">
        <f>ROUND(SUM(V5:V6),5)</f>
        <v>212201.42</v>
      </c>
      <c r="W7" s="312"/>
      <c r="X7" s="468">
        <f>ROUND(SUM(X5:X6),5)</f>
        <v>241568.92</v>
      </c>
      <c r="Y7" s="312"/>
      <c r="Z7" s="468">
        <f>ROUND(SUM(Z5:Z6),5)</f>
        <v>185683.98</v>
      </c>
      <c r="AA7" s="312"/>
      <c r="AB7" s="468">
        <f>ROUND(SUM(AB5:AB6),5)</f>
        <v>234666.37</v>
      </c>
      <c r="AC7" s="312"/>
      <c r="AD7" s="468">
        <f>ROUND(SUM(AD5:AD6),5)</f>
        <v>238293.3</v>
      </c>
    </row>
    <row r="8" spans="1:30" x14ac:dyDescent="0.25">
      <c r="A8" s="485"/>
      <c r="B8" s="485"/>
      <c r="C8" s="485"/>
      <c r="D8" s="485" t="s">
        <v>244</v>
      </c>
      <c r="E8" s="485"/>
      <c r="F8" s="485"/>
      <c r="G8" s="485"/>
      <c r="H8" s="468"/>
      <c r="I8" s="312"/>
      <c r="J8" s="468"/>
      <c r="K8" s="312"/>
      <c r="L8" s="468"/>
      <c r="M8" s="312"/>
      <c r="N8" s="468"/>
      <c r="O8" s="312"/>
      <c r="P8" s="468"/>
      <c r="Q8" s="312"/>
      <c r="R8" s="468"/>
      <c r="S8" s="312"/>
      <c r="T8" s="468"/>
      <c r="U8" s="312"/>
      <c r="V8" s="468"/>
      <c r="W8" s="312"/>
      <c r="X8" s="468"/>
      <c r="Y8" s="312"/>
      <c r="Z8" s="468"/>
      <c r="AA8" s="312"/>
      <c r="AB8" s="468"/>
      <c r="AC8" s="312"/>
      <c r="AD8" s="468"/>
    </row>
    <row r="9" spans="1:30" x14ac:dyDescent="0.25">
      <c r="A9" s="485"/>
      <c r="B9" s="485"/>
      <c r="C9" s="485"/>
      <c r="D9" s="485"/>
      <c r="E9" s="485" t="s">
        <v>423</v>
      </c>
      <c r="F9" s="485"/>
      <c r="G9" s="485"/>
      <c r="H9" s="468">
        <v>0</v>
      </c>
      <c r="I9" s="312"/>
      <c r="J9" s="468">
        <v>80789.05</v>
      </c>
      <c r="K9" s="312"/>
      <c r="L9" s="468">
        <v>81029.149999999994</v>
      </c>
      <c r="M9" s="312"/>
      <c r="N9" s="468">
        <v>81147.23</v>
      </c>
      <c r="O9" s="312"/>
      <c r="P9" s="468">
        <v>81246.89</v>
      </c>
      <c r="Q9" s="312"/>
      <c r="R9" s="468">
        <v>81384.320000000007</v>
      </c>
      <c r="S9" s="312"/>
      <c r="T9" s="468">
        <v>81384.320000000007</v>
      </c>
      <c r="U9" s="312"/>
      <c r="V9" s="468">
        <v>81384.320000000007</v>
      </c>
      <c r="W9" s="312"/>
      <c r="X9" s="468">
        <v>81084.960000000006</v>
      </c>
      <c r="Y9" s="312"/>
      <c r="Z9" s="468">
        <v>80821.73</v>
      </c>
      <c r="AA9" s="312"/>
      <c r="AB9" s="468">
        <v>80821.73</v>
      </c>
      <c r="AC9" s="312"/>
      <c r="AD9" s="468">
        <v>80708.539999999994</v>
      </c>
    </row>
    <row r="10" spans="1:30" x14ac:dyDescent="0.25">
      <c r="A10" s="485"/>
      <c r="B10" s="485"/>
      <c r="C10" s="485"/>
      <c r="D10" s="485"/>
      <c r="E10" s="485" t="s">
        <v>424</v>
      </c>
      <c r="F10" s="485"/>
      <c r="G10" s="485"/>
      <c r="H10" s="468">
        <v>0</v>
      </c>
      <c r="I10" s="312"/>
      <c r="J10" s="468">
        <v>80056.28</v>
      </c>
      <c r="K10" s="312"/>
      <c r="L10" s="468">
        <v>80156.28</v>
      </c>
      <c r="M10" s="312"/>
      <c r="N10" s="468">
        <v>80331.360000000001</v>
      </c>
      <c r="O10" s="312"/>
      <c r="P10" s="468">
        <v>80575.899999999994</v>
      </c>
      <c r="Q10" s="312"/>
      <c r="R10" s="468">
        <v>80740.39</v>
      </c>
      <c r="S10" s="312"/>
      <c r="T10" s="468">
        <v>80740.39</v>
      </c>
      <c r="U10" s="312"/>
      <c r="V10" s="468">
        <v>80740.39</v>
      </c>
      <c r="W10" s="312"/>
      <c r="X10" s="468">
        <v>80222.039999999994</v>
      </c>
      <c r="Y10" s="312"/>
      <c r="Z10" s="468">
        <v>80038.97</v>
      </c>
      <c r="AA10" s="312"/>
      <c r="AB10" s="468">
        <v>80038.97</v>
      </c>
      <c r="AC10" s="312"/>
      <c r="AD10" s="468">
        <v>79872.36</v>
      </c>
    </row>
    <row r="11" spans="1:30" ht="15.75" thickBot="1" x14ac:dyDescent="0.3">
      <c r="A11" s="485"/>
      <c r="B11" s="485"/>
      <c r="C11" s="485"/>
      <c r="D11" s="485"/>
      <c r="E11" s="485" t="s">
        <v>247</v>
      </c>
      <c r="F11" s="485"/>
      <c r="G11" s="485"/>
      <c r="H11" s="313">
        <v>80612.44</v>
      </c>
      <c r="I11" s="312"/>
      <c r="J11" s="313">
        <v>0</v>
      </c>
      <c r="K11" s="312"/>
      <c r="L11" s="313">
        <v>0</v>
      </c>
      <c r="M11" s="312"/>
      <c r="N11" s="313">
        <v>0</v>
      </c>
      <c r="O11" s="312"/>
      <c r="P11" s="313">
        <v>0</v>
      </c>
      <c r="Q11" s="312"/>
      <c r="R11" s="313">
        <v>0</v>
      </c>
      <c r="S11" s="312"/>
      <c r="T11" s="313">
        <v>0</v>
      </c>
      <c r="U11" s="312"/>
      <c r="V11" s="313">
        <v>0</v>
      </c>
      <c r="W11" s="312"/>
      <c r="X11" s="313">
        <v>0</v>
      </c>
      <c r="Y11" s="312"/>
      <c r="Z11" s="313">
        <v>0</v>
      </c>
      <c r="AA11" s="312"/>
      <c r="AB11" s="313">
        <v>0</v>
      </c>
      <c r="AC11" s="312"/>
      <c r="AD11" s="313">
        <v>0</v>
      </c>
    </row>
    <row r="12" spans="1:30" x14ac:dyDescent="0.25">
      <c r="A12" s="485"/>
      <c r="B12" s="485"/>
      <c r="C12" s="485"/>
      <c r="D12" s="485" t="s">
        <v>248</v>
      </c>
      <c r="E12" s="485"/>
      <c r="F12" s="485"/>
      <c r="G12" s="485"/>
      <c r="H12" s="468">
        <f>ROUND(SUM(H8:H11),5)</f>
        <v>80612.44</v>
      </c>
      <c r="I12" s="312"/>
      <c r="J12" s="468">
        <f>ROUND(SUM(J8:J11),5)</f>
        <v>160845.32999999999</v>
      </c>
      <c r="K12" s="312"/>
      <c r="L12" s="468">
        <f>ROUND(SUM(L8:L11),5)</f>
        <v>161185.43</v>
      </c>
      <c r="M12" s="312"/>
      <c r="N12" s="468">
        <f>ROUND(SUM(N8:N11),5)</f>
        <v>161478.59</v>
      </c>
      <c r="O12" s="312"/>
      <c r="P12" s="468">
        <f>ROUND(SUM(P8:P11),5)</f>
        <v>161822.79</v>
      </c>
      <c r="Q12" s="312"/>
      <c r="R12" s="468">
        <f>ROUND(SUM(R8:R11),5)</f>
        <v>162124.71</v>
      </c>
      <c r="S12" s="312"/>
      <c r="T12" s="468">
        <f>ROUND(SUM(T8:T11),5)</f>
        <v>162124.71</v>
      </c>
      <c r="U12" s="312"/>
      <c r="V12" s="468">
        <f>ROUND(SUM(V8:V11),5)</f>
        <v>162124.71</v>
      </c>
      <c r="W12" s="312"/>
      <c r="X12" s="468">
        <f>ROUND(SUM(X8:X11),5)</f>
        <v>161307</v>
      </c>
      <c r="Y12" s="312"/>
      <c r="Z12" s="468">
        <f>ROUND(SUM(Z8:Z11),5)</f>
        <v>160860.70000000001</v>
      </c>
      <c r="AA12" s="312"/>
      <c r="AB12" s="468">
        <f>ROUND(SUM(AB8:AB11),5)</f>
        <v>160860.70000000001</v>
      </c>
      <c r="AC12" s="312"/>
      <c r="AD12" s="468">
        <f>ROUND(SUM(AD8:AD11),5)</f>
        <v>160580.9</v>
      </c>
    </row>
    <row r="13" spans="1:30" x14ac:dyDescent="0.25">
      <c r="A13" s="485"/>
      <c r="B13" s="485"/>
      <c r="C13" s="485"/>
      <c r="D13" s="485" t="s">
        <v>425</v>
      </c>
      <c r="E13" s="485"/>
      <c r="F13" s="485"/>
      <c r="G13" s="485"/>
      <c r="H13" s="468">
        <v>31527.13</v>
      </c>
      <c r="I13" s="312"/>
      <c r="J13" s="468">
        <v>31527.93</v>
      </c>
      <c r="K13" s="312"/>
      <c r="L13" s="468">
        <v>31528.73</v>
      </c>
      <c r="M13" s="312"/>
      <c r="N13" s="468">
        <v>31529.51</v>
      </c>
      <c r="O13" s="312"/>
      <c r="P13" s="468">
        <v>31530.31</v>
      </c>
      <c r="Q13" s="312"/>
      <c r="R13" s="468">
        <v>31531.09</v>
      </c>
      <c r="S13" s="312"/>
      <c r="T13" s="468">
        <v>31531.9</v>
      </c>
      <c r="U13" s="312"/>
      <c r="V13" s="468">
        <v>31532.7</v>
      </c>
      <c r="W13" s="312"/>
      <c r="X13" s="468">
        <v>31533.45</v>
      </c>
      <c r="Y13" s="312"/>
      <c r="Z13" s="468">
        <v>31533.45</v>
      </c>
      <c r="AA13" s="312"/>
      <c r="AB13" s="468">
        <v>31534.32</v>
      </c>
      <c r="AC13" s="312"/>
      <c r="AD13" s="468">
        <v>31534.59</v>
      </c>
    </row>
    <row r="14" spans="1:30" x14ac:dyDescent="0.25">
      <c r="A14" s="485"/>
      <c r="B14" s="485"/>
      <c r="C14" s="485"/>
      <c r="D14" s="485" t="s">
        <v>426</v>
      </c>
      <c r="E14" s="485"/>
      <c r="F14" s="485"/>
      <c r="G14" s="485"/>
      <c r="H14" s="468">
        <v>0.99</v>
      </c>
      <c r="I14" s="312"/>
      <c r="J14" s="468">
        <v>0.99</v>
      </c>
      <c r="K14" s="312"/>
      <c r="L14" s="468">
        <v>0.99</v>
      </c>
      <c r="M14" s="312"/>
      <c r="N14" s="468">
        <v>0.99</v>
      </c>
      <c r="O14" s="312"/>
      <c r="P14" s="468">
        <v>0.99</v>
      </c>
      <c r="Q14" s="312"/>
      <c r="R14" s="468">
        <v>0.99</v>
      </c>
      <c r="S14" s="312"/>
      <c r="T14" s="468">
        <v>0.99</v>
      </c>
      <c r="U14" s="312"/>
      <c r="V14" s="468">
        <v>0.99</v>
      </c>
      <c r="W14" s="312"/>
      <c r="X14" s="468">
        <v>0.99</v>
      </c>
      <c r="Y14" s="312"/>
      <c r="Z14" s="468">
        <v>0.99</v>
      </c>
      <c r="AA14" s="312"/>
      <c r="AB14" s="468">
        <v>0.99</v>
      </c>
      <c r="AC14" s="312"/>
      <c r="AD14" s="468">
        <v>0.99</v>
      </c>
    </row>
    <row r="15" spans="1:30" ht="15.75" thickBot="1" x14ac:dyDescent="0.3">
      <c r="A15" s="485"/>
      <c r="B15" s="485"/>
      <c r="C15" s="485"/>
      <c r="D15" s="485" t="s">
        <v>499</v>
      </c>
      <c r="E15" s="485"/>
      <c r="F15" s="485"/>
      <c r="G15" s="485"/>
      <c r="H15" s="313">
        <v>0</v>
      </c>
      <c r="I15" s="312"/>
      <c r="J15" s="313">
        <v>0</v>
      </c>
      <c r="K15" s="312"/>
      <c r="L15" s="313">
        <v>0</v>
      </c>
      <c r="M15" s="312"/>
      <c r="N15" s="313">
        <v>0</v>
      </c>
      <c r="O15" s="312"/>
      <c r="P15" s="313">
        <v>0</v>
      </c>
      <c r="Q15" s="312"/>
      <c r="R15" s="313">
        <v>0</v>
      </c>
      <c r="S15" s="312"/>
      <c r="T15" s="313">
        <v>0</v>
      </c>
      <c r="U15" s="312"/>
      <c r="V15" s="313">
        <v>0</v>
      </c>
      <c r="W15" s="312"/>
      <c r="X15" s="313">
        <v>0</v>
      </c>
      <c r="Y15" s="312"/>
      <c r="Z15" s="313">
        <v>0</v>
      </c>
      <c r="AA15" s="312"/>
      <c r="AB15" s="313">
        <v>53392</v>
      </c>
      <c r="AC15" s="312"/>
      <c r="AD15" s="313">
        <v>0</v>
      </c>
    </row>
    <row r="16" spans="1:30" x14ac:dyDescent="0.25">
      <c r="A16" s="485"/>
      <c r="B16" s="485"/>
      <c r="C16" s="485" t="s">
        <v>250</v>
      </c>
      <c r="D16" s="485"/>
      <c r="E16" s="485"/>
      <c r="F16" s="485"/>
      <c r="G16" s="485"/>
      <c r="H16" s="468">
        <f>ROUND(H4+H7+SUM(H12:H15),5)</f>
        <v>342243.33</v>
      </c>
      <c r="I16" s="312"/>
      <c r="J16" s="468">
        <f>ROUND(J4+J7+SUM(J12:J15),5)</f>
        <v>379088.62</v>
      </c>
      <c r="K16" s="312"/>
      <c r="L16" s="468">
        <f>ROUND(L4+L7+SUM(L12:L15),5)</f>
        <v>396616</v>
      </c>
      <c r="M16" s="312"/>
      <c r="N16" s="468">
        <f>ROUND(N4+N7+SUM(N12:N15),5)</f>
        <v>397132.94</v>
      </c>
      <c r="O16" s="312"/>
      <c r="P16" s="468">
        <f>ROUND(P4+P7+SUM(P12:P15),5)</f>
        <v>299766.45</v>
      </c>
      <c r="Q16" s="312"/>
      <c r="R16" s="468">
        <f>ROUND(R4+R7+SUM(R12:R15),5)</f>
        <v>301814.75</v>
      </c>
      <c r="S16" s="312"/>
      <c r="T16" s="468">
        <f>ROUND(T4+T7+SUM(T12:T15),5)</f>
        <v>345249.6</v>
      </c>
      <c r="U16" s="312"/>
      <c r="V16" s="468">
        <f>ROUND(V4+V7+SUM(V12:V15),5)</f>
        <v>405859.82</v>
      </c>
      <c r="W16" s="312"/>
      <c r="X16" s="468">
        <f>ROUND(X4+X7+SUM(X12:X15),5)</f>
        <v>434410.36</v>
      </c>
      <c r="Y16" s="312"/>
      <c r="Z16" s="468">
        <f>ROUND(Z4+Z7+SUM(Z12:Z15),5)</f>
        <v>378079.12</v>
      </c>
      <c r="AA16" s="312"/>
      <c r="AB16" s="468">
        <f>ROUND(AB4+AB7+SUM(AB12:AB15),5)</f>
        <v>480454.38</v>
      </c>
      <c r="AC16" s="312"/>
      <c r="AD16" s="468">
        <f>ROUND(AD4+AD7+SUM(AD12:AD15),5)</f>
        <v>430409.78</v>
      </c>
    </row>
    <row r="17" spans="1:30" x14ac:dyDescent="0.25">
      <c r="A17" s="485"/>
      <c r="B17" s="485"/>
      <c r="C17" s="485" t="s">
        <v>251</v>
      </c>
      <c r="D17" s="485"/>
      <c r="E17" s="485"/>
      <c r="F17" s="485"/>
      <c r="G17" s="485"/>
      <c r="H17" s="468"/>
      <c r="I17" s="312"/>
      <c r="J17" s="468"/>
      <c r="K17" s="312"/>
      <c r="L17" s="468"/>
      <c r="M17" s="312"/>
      <c r="N17" s="468"/>
      <c r="O17" s="312"/>
      <c r="P17" s="468"/>
      <c r="Q17" s="312"/>
      <c r="R17" s="468"/>
      <c r="S17" s="312"/>
      <c r="T17" s="468"/>
      <c r="U17" s="312"/>
      <c r="V17" s="468"/>
      <c r="W17" s="312"/>
      <c r="X17" s="468"/>
      <c r="Y17" s="312"/>
      <c r="Z17" s="468"/>
      <c r="AA17" s="312"/>
      <c r="AB17" s="468"/>
      <c r="AC17" s="312"/>
      <c r="AD17" s="468"/>
    </row>
    <row r="18" spans="1:30" ht="15.75" thickBot="1" x14ac:dyDescent="0.3">
      <c r="A18" s="485"/>
      <c r="B18" s="485"/>
      <c r="C18" s="485"/>
      <c r="D18" s="485" t="s">
        <v>252</v>
      </c>
      <c r="E18" s="485"/>
      <c r="F18" s="485"/>
      <c r="G18" s="485"/>
      <c r="H18" s="313">
        <v>8800</v>
      </c>
      <c r="I18" s="312"/>
      <c r="J18" s="313">
        <v>0</v>
      </c>
      <c r="K18" s="312"/>
      <c r="L18" s="313">
        <v>0</v>
      </c>
      <c r="M18" s="312"/>
      <c r="N18" s="313">
        <v>5000</v>
      </c>
      <c r="O18" s="312"/>
      <c r="P18" s="313">
        <v>5000</v>
      </c>
      <c r="Q18" s="312"/>
      <c r="R18" s="313">
        <v>0</v>
      </c>
      <c r="S18" s="312"/>
      <c r="T18" s="313">
        <v>0</v>
      </c>
      <c r="U18" s="312"/>
      <c r="V18" s="313">
        <v>0</v>
      </c>
      <c r="W18" s="312"/>
      <c r="X18" s="313">
        <v>15000</v>
      </c>
      <c r="Y18" s="312"/>
      <c r="Z18" s="313">
        <v>26430</v>
      </c>
      <c r="AA18" s="312"/>
      <c r="AB18" s="313">
        <v>0</v>
      </c>
      <c r="AC18" s="312"/>
      <c r="AD18" s="313">
        <v>8800</v>
      </c>
    </row>
    <row r="19" spans="1:30" x14ac:dyDescent="0.25">
      <c r="A19" s="485"/>
      <c r="B19" s="485"/>
      <c r="C19" s="485" t="s">
        <v>253</v>
      </c>
      <c r="D19" s="485"/>
      <c r="E19" s="485"/>
      <c r="F19" s="485"/>
      <c r="G19" s="485"/>
      <c r="H19" s="468">
        <f>ROUND(SUM(H17:H18),5)</f>
        <v>8800</v>
      </c>
      <c r="I19" s="312"/>
      <c r="J19" s="468">
        <f>ROUND(SUM(J17:J18),5)</f>
        <v>0</v>
      </c>
      <c r="K19" s="312"/>
      <c r="L19" s="468">
        <f>ROUND(SUM(L17:L18),5)</f>
        <v>0</v>
      </c>
      <c r="M19" s="312"/>
      <c r="N19" s="468">
        <f>ROUND(SUM(N17:N18),5)</f>
        <v>5000</v>
      </c>
      <c r="O19" s="312"/>
      <c r="P19" s="468">
        <f>ROUND(SUM(P17:P18),5)</f>
        <v>5000</v>
      </c>
      <c r="Q19" s="312"/>
      <c r="R19" s="468">
        <f>ROUND(SUM(R17:R18),5)</f>
        <v>0</v>
      </c>
      <c r="S19" s="312"/>
      <c r="T19" s="468">
        <f>ROUND(SUM(T17:T18),5)</f>
        <v>0</v>
      </c>
      <c r="U19" s="312"/>
      <c r="V19" s="468">
        <f>ROUND(SUM(V17:V18),5)</f>
        <v>0</v>
      </c>
      <c r="W19" s="312"/>
      <c r="X19" s="468">
        <f>ROUND(SUM(X17:X18),5)</f>
        <v>15000</v>
      </c>
      <c r="Y19" s="312"/>
      <c r="Z19" s="468">
        <f>ROUND(SUM(Z17:Z18),5)</f>
        <v>26430</v>
      </c>
      <c r="AA19" s="312"/>
      <c r="AB19" s="468">
        <f>ROUND(SUM(AB17:AB18),5)</f>
        <v>0</v>
      </c>
      <c r="AC19" s="312"/>
      <c r="AD19" s="468">
        <f>ROUND(SUM(AD17:AD18),5)</f>
        <v>8800</v>
      </c>
    </row>
    <row r="20" spans="1:30" x14ac:dyDescent="0.25">
      <c r="A20" s="485"/>
      <c r="B20" s="485"/>
      <c r="C20" s="485" t="s">
        <v>254</v>
      </c>
      <c r="D20" s="485"/>
      <c r="E20" s="485"/>
      <c r="F20" s="485"/>
      <c r="G20" s="485"/>
      <c r="H20" s="468"/>
      <c r="I20" s="312"/>
      <c r="J20" s="468"/>
      <c r="K20" s="312"/>
      <c r="L20" s="468"/>
      <c r="M20" s="312"/>
      <c r="N20" s="468"/>
      <c r="O20" s="312"/>
      <c r="P20" s="468"/>
      <c r="Q20" s="312"/>
      <c r="R20" s="468"/>
      <c r="S20" s="312"/>
      <c r="T20" s="468"/>
      <c r="U20" s="312"/>
      <c r="V20" s="468"/>
      <c r="W20" s="312"/>
      <c r="X20" s="468"/>
      <c r="Y20" s="312"/>
      <c r="Z20" s="468"/>
      <c r="AA20" s="312"/>
      <c r="AB20" s="468"/>
      <c r="AC20" s="312"/>
      <c r="AD20" s="468"/>
    </row>
    <row r="21" spans="1:30" x14ac:dyDescent="0.25">
      <c r="A21" s="485"/>
      <c r="B21" s="485"/>
      <c r="C21" s="485"/>
      <c r="D21" s="485" t="s">
        <v>427</v>
      </c>
      <c r="E21" s="485"/>
      <c r="F21" s="485"/>
      <c r="G21" s="485"/>
      <c r="H21" s="468">
        <v>15000</v>
      </c>
      <c r="I21" s="312"/>
      <c r="J21" s="468">
        <v>0</v>
      </c>
      <c r="K21" s="312"/>
      <c r="L21" s="468">
        <v>0</v>
      </c>
      <c r="M21" s="312"/>
      <c r="N21" s="468">
        <v>0</v>
      </c>
      <c r="O21" s="312"/>
      <c r="P21" s="468">
        <v>0</v>
      </c>
      <c r="Q21" s="312"/>
      <c r="R21" s="468">
        <v>0</v>
      </c>
      <c r="S21" s="312"/>
      <c r="T21" s="468">
        <v>0</v>
      </c>
      <c r="U21" s="312"/>
      <c r="V21" s="468">
        <v>0</v>
      </c>
      <c r="W21" s="312"/>
      <c r="X21" s="468">
        <v>0</v>
      </c>
      <c r="Y21" s="312"/>
      <c r="Z21" s="468">
        <v>0</v>
      </c>
      <c r="AA21" s="312"/>
      <c r="AB21" s="468">
        <v>0</v>
      </c>
      <c r="AC21" s="312"/>
      <c r="AD21" s="468">
        <v>0</v>
      </c>
    </row>
    <row r="22" spans="1:30" x14ac:dyDescent="0.25">
      <c r="A22" s="485"/>
      <c r="B22" s="485"/>
      <c r="C22" s="485"/>
      <c r="D22" s="485" t="s">
        <v>263</v>
      </c>
      <c r="E22" s="485"/>
      <c r="F22" s="485"/>
      <c r="G22" s="485"/>
      <c r="H22" s="468">
        <v>2540.66</v>
      </c>
      <c r="I22" s="312"/>
      <c r="J22" s="468">
        <v>1829.08</v>
      </c>
      <c r="K22" s="312"/>
      <c r="L22" s="468">
        <v>1117.5</v>
      </c>
      <c r="M22" s="312"/>
      <c r="N22" s="468">
        <v>6405.92</v>
      </c>
      <c r="O22" s="312"/>
      <c r="P22" s="468">
        <v>5694.34</v>
      </c>
      <c r="Q22" s="312"/>
      <c r="R22" s="468">
        <v>4982.76</v>
      </c>
      <c r="S22" s="312"/>
      <c r="T22" s="468">
        <v>4271.18</v>
      </c>
      <c r="U22" s="312"/>
      <c r="V22" s="468">
        <v>4271.18</v>
      </c>
      <c r="W22" s="312"/>
      <c r="X22" s="468">
        <v>5414.27</v>
      </c>
      <c r="Y22" s="312"/>
      <c r="Z22" s="468">
        <v>4712.33</v>
      </c>
      <c r="AA22" s="312"/>
      <c r="AB22" s="468">
        <v>4010.39</v>
      </c>
      <c r="AC22" s="312"/>
      <c r="AD22" s="468">
        <v>3308.45</v>
      </c>
    </row>
    <row r="23" spans="1:30" ht="15.75" thickBot="1" x14ac:dyDescent="0.3">
      <c r="A23" s="485"/>
      <c r="B23" s="485"/>
      <c r="C23" s="485"/>
      <c r="D23" s="485" t="s">
        <v>428</v>
      </c>
      <c r="E23" s="485"/>
      <c r="F23" s="485"/>
      <c r="G23" s="485"/>
      <c r="H23" s="467">
        <v>4994.4399999999996</v>
      </c>
      <c r="I23" s="312"/>
      <c r="J23" s="467">
        <v>4372.41</v>
      </c>
      <c r="K23" s="312"/>
      <c r="L23" s="467">
        <v>4625.96</v>
      </c>
      <c r="M23" s="312"/>
      <c r="N23" s="467">
        <v>3284.33</v>
      </c>
      <c r="O23" s="312"/>
      <c r="P23" s="467">
        <v>4514.24</v>
      </c>
      <c r="Q23" s="312"/>
      <c r="R23" s="467">
        <v>3867.2</v>
      </c>
      <c r="S23" s="312"/>
      <c r="T23" s="467">
        <v>1418.27</v>
      </c>
      <c r="U23" s="312"/>
      <c r="V23" s="467">
        <v>178.99</v>
      </c>
      <c r="W23" s="312"/>
      <c r="X23" s="467">
        <v>802.53</v>
      </c>
      <c r="Y23" s="312"/>
      <c r="Z23" s="467">
        <v>296</v>
      </c>
      <c r="AA23" s="312"/>
      <c r="AB23" s="467">
        <v>1562.21</v>
      </c>
      <c r="AC23" s="312"/>
      <c r="AD23" s="467">
        <v>909.62</v>
      </c>
    </row>
    <row r="24" spans="1:30" ht="15.75" thickBot="1" x14ac:dyDescent="0.3">
      <c r="A24" s="485"/>
      <c r="B24" s="485"/>
      <c r="C24" s="485" t="s">
        <v>265</v>
      </c>
      <c r="D24" s="485"/>
      <c r="E24" s="485"/>
      <c r="F24" s="485"/>
      <c r="G24" s="485"/>
      <c r="H24" s="315">
        <f>ROUND(SUM(H20:H23),5)</f>
        <v>22535.1</v>
      </c>
      <c r="I24" s="312"/>
      <c r="J24" s="315">
        <f>ROUND(SUM(J20:J23),5)</f>
        <v>6201.49</v>
      </c>
      <c r="K24" s="312"/>
      <c r="L24" s="315">
        <f>ROUND(SUM(L20:L23),5)</f>
        <v>5743.46</v>
      </c>
      <c r="M24" s="312"/>
      <c r="N24" s="315">
        <f>ROUND(SUM(N20:N23),5)</f>
        <v>9690.25</v>
      </c>
      <c r="O24" s="312"/>
      <c r="P24" s="315">
        <f>ROUND(SUM(P20:P23),5)</f>
        <v>10208.58</v>
      </c>
      <c r="Q24" s="312"/>
      <c r="R24" s="315">
        <f>ROUND(SUM(R20:R23),5)</f>
        <v>8849.9599999999991</v>
      </c>
      <c r="S24" s="312"/>
      <c r="T24" s="315">
        <f>ROUND(SUM(T20:T23),5)</f>
        <v>5689.45</v>
      </c>
      <c r="U24" s="312"/>
      <c r="V24" s="315">
        <f>ROUND(SUM(V20:V23),5)</f>
        <v>4450.17</v>
      </c>
      <c r="W24" s="312"/>
      <c r="X24" s="315">
        <f>ROUND(SUM(X20:X23),5)</f>
        <v>6216.8</v>
      </c>
      <c r="Y24" s="312"/>
      <c r="Z24" s="315">
        <f>ROUND(SUM(Z20:Z23),5)</f>
        <v>5008.33</v>
      </c>
      <c r="AA24" s="312"/>
      <c r="AB24" s="315">
        <f>ROUND(SUM(AB20:AB23),5)</f>
        <v>5572.6</v>
      </c>
      <c r="AC24" s="312"/>
      <c r="AD24" s="315">
        <f>ROUND(SUM(AD20:AD23),5)</f>
        <v>4218.07</v>
      </c>
    </row>
    <row r="25" spans="1:30" ht="15.75" thickBot="1" x14ac:dyDescent="0.3">
      <c r="A25" s="485"/>
      <c r="B25" s="485" t="s">
        <v>266</v>
      </c>
      <c r="C25" s="485"/>
      <c r="D25" s="485"/>
      <c r="E25" s="485"/>
      <c r="F25" s="485"/>
      <c r="G25" s="485"/>
      <c r="H25" s="315">
        <f>ROUND(H3+H16+H19+H24,5)</f>
        <v>373578.43</v>
      </c>
      <c r="I25" s="312"/>
      <c r="J25" s="315">
        <f>ROUND(J3+J16+J19+J24,5)</f>
        <v>385290.11</v>
      </c>
      <c r="K25" s="312"/>
      <c r="L25" s="315">
        <f>ROUND(L3+L16+L19+L24,5)</f>
        <v>402359.46</v>
      </c>
      <c r="M25" s="312"/>
      <c r="N25" s="315">
        <f>ROUND(N3+N16+N19+N24,5)</f>
        <v>411823.19</v>
      </c>
      <c r="O25" s="312"/>
      <c r="P25" s="315">
        <f>ROUND(P3+P16+P19+P24,5)</f>
        <v>314975.03000000003</v>
      </c>
      <c r="Q25" s="312"/>
      <c r="R25" s="315">
        <f>ROUND(R3+R16+R19+R24,5)</f>
        <v>310664.71000000002</v>
      </c>
      <c r="S25" s="312"/>
      <c r="T25" s="315">
        <f>ROUND(T3+T16+T19+T24,5)</f>
        <v>350939.05</v>
      </c>
      <c r="U25" s="312"/>
      <c r="V25" s="315">
        <f>ROUND(V3+V16+V19+V24,5)</f>
        <v>410309.99</v>
      </c>
      <c r="W25" s="312"/>
      <c r="X25" s="315">
        <f>ROUND(X3+X16+X19+X24,5)</f>
        <v>455627.16</v>
      </c>
      <c r="Y25" s="312"/>
      <c r="Z25" s="315">
        <f>ROUND(Z3+Z16+Z19+Z24,5)</f>
        <v>409517.45</v>
      </c>
      <c r="AA25" s="312"/>
      <c r="AB25" s="315">
        <f>ROUND(AB3+AB16+AB19+AB24,5)</f>
        <v>486026.98</v>
      </c>
      <c r="AC25" s="312"/>
      <c r="AD25" s="315">
        <f>ROUND(AD3+AD16+AD19+AD24,5)</f>
        <v>443427.85</v>
      </c>
    </row>
    <row r="26" spans="1:30" ht="15.75" thickBot="1" x14ac:dyDescent="0.3">
      <c r="A26" s="485" t="s">
        <v>275</v>
      </c>
      <c r="B26" s="485"/>
      <c r="C26" s="485"/>
      <c r="D26" s="485"/>
      <c r="E26" s="485"/>
      <c r="F26" s="485"/>
      <c r="G26" s="485"/>
      <c r="H26" s="316">
        <f>ROUND(H2+H25,5)</f>
        <v>373578.43</v>
      </c>
      <c r="I26" s="485"/>
      <c r="J26" s="316">
        <f>ROUND(J2+J25,5)</f>
        <v>385290.11</v>
      </c>
      <c r="K26" s="485"/>
      <c r="L26" s="316">
        <f>ROUND(L2+L25,5)</f>
        <v>402359.46</v>
      </c>
      <c r="M26" s="485"/>
      <c r="N26" s="316">
        <f>ROUND(N2+N25,5)</f>
        <v>411823.19</v>
      </c>
      <c r="O26" s="485"/>
      <c r="P26" s="316">
        <f>ROUND(P2+P25,5)</f>
        <v>314975.03000000003</v>
      </c>
      <c r="Q26" s="485"/>
      <c r="R26" s="316">
        <f>ROUND(R2+R25,5)</f>
        <v>310664.71000000002</v>
      </c>
      <c r="S26" s="485"/>
      <c r="T26" s="316">
        <f>ROUND(T2+T25,5)</f>
        <v>350939.05</v>
      </c>
      <c r="U26" s="485"/>
      <c r="V26" s="316">
        <f>ROUND(V2+V25,5)</f>
        <v>410309.99</v>
      </c>
      <c r="W26" s="485"/>
      <c r="X26" s="316">
        <f>ROUND(X2+X25,5)</f>
        <v>455627.16</v>
      </c>
      <c r="Y26" s="485"/>
      <c r="Z26" s="316">
        <f>ROUND(Z2+Z25,5)</f>
        <v>409517.45</v>
      </c>
      <c r="AA26" s="485"/>
      <c r="AB26" s="316">
        <f>ROUND(AB2+AB25,5)</f>
        <v>486026.98</v>
      </c>
      <c r="AC26" s="485"/>
      <c r="AD26" s="316">
        <f>ROUND(AD2+AD25,5)</f>
        <v>443427.85</v>
      </c>
    </row>
    <row r="27" spans="1:30" ht="15.75" thickTop="1" x14ac:dyDescent="0.25">
      <c r="A27" s="485" t="s">
        <v>276</v>
      </c>
      <c r="B27" s="485"/>
      <c r="C27" s="485"/>
      <c r="D27" s="485"/>
      <c r="E27" s="485"/>
      <c r="F27" s="485"/>
      <c r="G27" s="485"/>
      <c r="H27" s="468"/>
      <c r="I27" s="312"/>
      <c r="J27" s="468"/>
      <c r="K27" s="312"/>
      <c r="L27" s="468"/>
      <c r="M27" s="312"/>
      <c r="N27" s="468"/>
      <c r="O27" s="312"/>
      <c r="P27" s="468"/>
      <c r="Q27" s="312"/>
      <c r="R27" s="468"/>
      <c r="S27" s="312"/>
      <c r="T27" s="468"/>
      <c r="U27" s="312"/>
      <c r="V27" s="468"/>
      <c r="W27" s="312"/>
      <c r="X27" s="468"/>
      <c r="Y27" s="312"/>
      <c r="Z27" s="468"/>
      <c r="AA27" s="312"/>
      <c r="AB27" s="468"/>
      <c r="AC27" s="312"/>
      <c r="AD27" s="468"/>
    </row>
    <row r="28" spans="1:30" x14ac:dyDescent="0.25">
      <c r="A28" s="485"/>
      <c r="B28" s="485" t="s">
        <v>277</v>
      </c>
      <c r="C28" s="485"/>
      <c r="D28" s="485"/>
      <c r="E28" s="485"/>
      <c r="F28" s="485"/>
      <c r="G28" s="485"/>
      <c r="H28" s="468"/>
      <c r="I28" s="312"/>
      <c r="J28" s="468"/>
      <c r="K28" s="312"/>
      <c r="L28" s="468"/>
      <c r="M28" s="312"/>
      <c r="N28" s="468"/>
      <c r="O28" s="312"/>
      <c r="P28" s="468"/>
      <c r="Q28" s="312"/>
      <c r="R28" s="468"/>
      <c r="S28" s="312"/>
      <c r="T28" s="468"/>
      <c r="U28" s="312"/>
      <c r="V28" s="468"/>
      <c r="W28" s="312"/>
      <c r="X28" s="468"/>
      <c r="Y28" s="312"/>
      <c r="Z28" s="468"/>
      <c r="AA28" s="312"/>
      <c r="AB28" s="468"/>
      <c r="AC28" s="312"/>
      <c r="AD28" s="468"/>
    </row>
    <row r="29" spans="1:30" x14ac:dyDescent="0.25">
      <c r="A29" s="485"/>
      <c r="B29" s="485"/>
      <c r="C29" s="485" t="s">
        <v>278</v>
      </c>
      <c r="D29" s="485"/>
      <c r="E29" s="485"/>
      <c r="F29" s="485"/>
      <c r="G29" s="485"/>
      <c r="H29" s="468"/>
      <c r="I29" s="312"/>
      <c r="J29" s="468"/>
      <c r="K29" s="312"/>
      <c r="L29" s="468"/>
      <c r="M29" s="312"/>
      <c r="N29" s="468"/>
      <c r="O29" s="312"/>
      <c r="P29" s="468"/>
      <c r="Q29" s="312"/>
      <c r="R29" s="468"/>
      <c r="S29" s="312"/>
      <c r="T29" s="468"/>
      <c r="U29" s="312"/>
      <c r="V29" s="468"/>
      <c r="W29" s="312"/>
      <c r="X29" s="468"/>
      <c r="Y29" s="312"/>
      <c r="Z29" s="468"/>
      <c r="AA29" s="312"/>
      <c r="AB29" s="468"/>
      <c r="AC29" s="312"/>
      <c r="AD29" s="468"/>
    </row>
    <row r="30" spans="1:30" x14ac:dyDescent="0.25">
      <c r="A30" s="485"/>
      <c r="B30" s="485"/>
      <c r="C30" s="485"/>
      <c r="D30" s="485" t="s">
        <v>279</v>
      </c>
      <c r="E30" s="485"/>
      <c r="F30" s="485"/>
      <c r="G30" s="485"/>
      <c r="H30" s="468"/>
      <c r="I30" s="312"/>
      <c r="J30" s="468"/>
      <c r="K30" s="312"/>
      <c r="L30" s="468"/>
      <c r="M30" s="312"/>
      <c r="N30" s="468"/>
      <c r="O30" s="312"/>
      <c r="P30" s="468"/>
      <c r="Q30" s="312"/>
      <c r="R30" s="468"/>
      <c r="S30" s="312"/>
      <c r="T30" s="468"/>
      <c r="U30" s="312"/>
      <c r="V30" s="468"/>
      <c r="W30" s="312"/>
      <c r="X30" s="468"/>
      <c r="Y30" s="312"/>
      <c r="Z30" s="468"/>
      <c r="AA30" s="312"/>
      <c r="AB30" s="468"/>
      <c r="AC30" s="312"/>
      <c r="AD30" s="468"/>
    </row>
    <row r="31" spans="1:30" s="317" customFormat="1" ht="12" thickBot="1" x14ac:dyDescent="0.25">
      <c r="A31" s="485"/>
      <c r="B31" s="485"/>
      <c r="C31" s="485"/>
      <c r="D31" s="485"/>
      <c r="E31" s="485" t="s">
        <v>280</v>
      </c>
      <c r="F31" s="485"/>
      <c r="G31" s="485"/>
      <c r="H31" s="313">
        <v>3170</v>
      </c>
      <c r="I31" s="312"/>
      <c r="J31" s="313">
        <v>2699</v>
      </c>
      <c r="K31" s="312"/>
      <c r="L31" s="313">
        <v>4776.1000000000004</v>
      </c>
      <c r="M31" s="312"/>
      <c r="N31" s="313">
        <v>19337.02</v>
      </c>
      <c r="O31" s="312"/>
      <c r="P31" s="313">
        <v>19075.02</v>
      </c>
      <c r="Q31" s="312"/>
      <c r="R31" s="313">
        <v>9321.5499999999993</v>
      </c>
      <c r="S31" s="312"/>
      <c r="T31" s="313">
        <v>19073.18</v>
      </c>
      <c r="U31" s="312"/>
      <c r="V31" s="313">
        <v>86.03</v>
      </c>
      <c r="W31" s="312"/>
      <c r="X31" s="313">
        <v>2068</v>
      </c>
      <c r="Y31" s="312"/>
      <c r="Z31" s="313">
        <v>6259.7</v>
      </c>
      <c r="AA31" s="312"/>
      <c r="AB31" s="313">
        <v>2580.6999999999998</v>
      </c>
      <c r="AC31" s="312"/>
      <c r="AD31" s="313">
        <v>305</v>
      </c>
    </row>
    <row r="32" spans="1:30" x14ac:dyDescent="0.25">
      <c r="A32" s="485"/>
      <c r="B32" s="485"/>
      <c r="C32" s="485"/>
      <c r="D32" s="485" t="s">
        <v>281</v>
      </c>
      <c r="E32" s="485"/>
      <c r="F32" s="485"/>
      <c r="G32" s="485"/>
      <c r="H32" s="468">
        <f>ROUND(SUM(H30:H31),5)</f>
        <v>3170</v>
      </c>
      <c r="I32" s="312"/>
      <c r="J32" s="468">
        <f>ROUND(SUM(J30:J31),5)</f>
        <v>2699</v>
      </c>
      <c r="K32" s="312"/>
      <c r="L32" s="468">
        <f>ROUND(SUM(L30:L31),5)</f>
        <v>4776.1000000000004</v>
      </c>
      <c r="M32" s="312"/>
      <c r="N32" s="468">
        <f>ROUND(SUM(N30:N31),5)</f>
        <v>19337.02</v>
      </c>
      <c r="O32" s="312"/>
      <c r="P32" s="468">
        <f>ROUND(SUM(P30:P31),5)</f>
        <v>19075.02</v>
      </c>
      <c r="Q32" s="312"/>
      <c r="R32" s="468">
        <f>ROUND(SUM(R30:R31),5)</f>
        <v>9321.5499999999993</v>
      </c>
      <c r="S32" s="312"/>
      <c r="T32" s="468">
        <f>ROUND(SUM(T30:T31),5)</f>
        <v>19073.18</v>
      </c>
      <c r="U32" s="312"/>
      <c r="V32" s="468">
        <f>ROUND(SUM(V30:V31),5)</f>
        <v>86.03</v>
      </c>
      <c r="W32" s="312"/>
      <c r="X32" s="468">
        <f>ROUND(SUM(X30:X31),5)</f>
        <v>2068</v>
      </c>
      <c r="Y32" s="312"/>
      <c r="Z32" s="468">
        <f>ROUND(SUM(Z30:Z31),5)</f>
        <v>6259.7</v>
      </c>
      <c r="AA32" s="312"/>
      <c r="AB32" s="468">
        <f>ROUND(SUM(AB30:AB31),5)</f>
        <v>2580.6999999999998</v>
      </c>
      <c r="AC32" s="312"/>
      <c r="AD32" s="468">
        <f>ROUND(SUM(AD30:AD31),5)</f>
        <v>305</v>
      </c>
    </row>
    <row r="33" spans="1:32" x14ac:dyDescent="0.25">
      <c r="A33" s="485"/>
      <c r="B33" s="485"/>
      <c r="C33" s="485"/>
      <c r="D33" s="485" t="s">
        <v>292</v>
      </c>
      <c r="E33" s="485"/>
      <c r="F33" s="485"/>
      <c r="G33" s="485"/>
      <c r="H33" s="468"/>
      <c r="I33" s="312"/>
      <c r="J33" s="468"/>
      <c r="K33" s="312"/>
      <c r="L33" s="468"/>
      <c r="M33" s="312"/>
      <c r="N33" s="468"/>
      <c r="O33" s="312"/>
      <c r="P33" s="468"/>
      <c r="Q33" s="312"/>
      <c r="R33" s="468"/>
      <c r="S33" s="312"/>
      <c r="T33" s="468"/>
      <c r="U33" s="312"/>
      <c r="V33" s="468"/>
      <c r="W33" s="312"/>
      <c r="X33" s="468"/>
      <c r="Y33" s="312"/>
      <c r="Z33" s="468"/>
      <c r="AA33" s="312"/>
      <c r="AB33" s="468"/>
      <c r="AC33" s="312"/>
      <c r="AD33" s="468"/>
      <c r="AE33" s="462"/>
      <c r="AF33" s="462"/>
    </row>
    <row r="34" spans="1:32" x14ac:dyDescent="0.25">
      <c r="A34" s="485"/>
      <c r="B34" s="485"/>
      <c r="C34" s="485"/>
      <c r="D34" s="485"/>
      <c r="E34" s="485" t="s">
        <v>429</v>
      </c>
      <c r="F34" s="485"/>
      <c r="G34" s="485"/>
      <c r="H34" s="468"/>
      <c r="I34" s="312"/>
      <c r="J34" s="468"/>
      <c r="K34" s="312"/>
      <c r="L34" s="468"/>
      <c r="M34" s="312"/>
      <c r="N34" s="468"/>
      <c r="O34" s="312"/>
      <c r="P34" s="468"/>
      <c r="Q34" s="312"/>
      <c r="R34" s="468"/>
      <c r="S34" s="312"/>
      <c r="T34" s="468"/>
      <c r="U34" s="312"/>
      <c r="V34" s="468"/>
      <c r="W34" s="312"/>
      <c r="X34" s="468"/>
      <c r="Y34" s="312"/>
      <c r="Z34" s="468"/>
      <c r="AA34" s="312"/>
      <c r="AB34" s="468"/>
      <c r="AC34" s="312"/>
      <c r="AD34" s="468"/>
      <c r="AE34" s="462"/>
      <c r="AF34" s="462"/>
    </row>
    <row r="35" spans="1:32" x14ac:dyDescent="0.25">
      <c r="A35" s="485"/>
      <c r="B35" s="485"/>
      <c r="C35" s="485"/>
      <c r="D35" s="485"/>
      <c r="E35" s="485"/>
      <c r="F35" s="485" t="s">
        <v>430</v>
      </c>
      <c r="G35" s="485"/>
      <c r="H35" s="468">
        <v>14674.61</v>
      </c>
      <c r="I35" s="312"/>
      <c r="J35" s="468">
        <v>33225.56</v>
      </c>
      <c r="K35" s="312"/>
      <c r="L35" s="468">
        <v>51029.66</v>
      </c>
      <c r="M35" s="312"/>
      <c r="N35" s="468">
        <v>69295.27</v>
      </c>
      <c r="O35" s="312"/>
      <c r="P35" s="468">
        <v>12450.05</v>
      </c>
      <c r="Q35" s="312"/>
      <c r="R35" s="468">
        <v>33872.79</v>
      </c>
      <c r="S35" s="312"/>
      <c r="T35" s="468">
        <v>58432.51</v>
      </c>
      <c r="U35" s="312"/>
      <c r="V35" s="468">
        <v>83826.03</v>
      </c>
      <c r="W35" s="312"/>
      <c r="X35" s="468">
        <v>106424.58</v>
      </c>
      <c r="Y35" s="312"/>
      <c r="Z35" s="468">
        <v>64993.99</v>
      </c>
      <c r="AA35" s="312"/>
      <c r="AB35" s="468">
        <v>91703.33</v>
      </c>
      <c r="AC35" s="312"/>
      <c r="AD35" s="468">
        <v>51746.92</v>
      </c>
      <c r="AE35" s="462"/>
      <c r="AF35" s="462"/>
    </row>
    <row r="36" spans="1:32" ht="15.75" thickBot="1" x14ac:dyDescent="0.3">
      <c r="A36" s="485"/>
      <c r="B36" s="485"/>
      <c r="C36" s="485"/>
      <c r="D36" s="485"/>
      <c r="E36" s="485"/>
      <c r="F36" s="485" t="s">
        <v>431</v>
      </c>
      <c r="G36" s="485"/>
      <c r="H36" s="313">
        <v>15561.66</v>
      </c>
      <c r="I36" s="312"/>
      <c r="J36" s="313">
        <v>26623.439999999999</v>
      </c>
      <c r="K36" s="312"/>
      <c r="L36" s="313">
        <v>37563.910000000003</v>
      </c>
      <c r="M36" s="312"/>
      <c r="N36" s="313">
        <v>53971.29</v>
      </c>
      <c r="O36" s="312"/>
      <c r="P36" s="313">
        <v>41590.07</v>
      </c>
      <c r="Q36" s="312"/>
      <c r="R36" s="313">
        <v>46783.44</v>
      </c>
      <c r="S36" s="312"/>
      <c r="T36" s="313">
        <v>40926.99</v>
      </c>
      <c r="U36" s="312"/>
      <c r="V36" s="313">
        <v>33010.17</v>
      </c>
      <c r="W36" s="312"/>
      <c r="X36" s="313">
        <v>38636.980000000003</v>
      </c>
      <c r="Y36" s="312"/>
      <c r="Z36" s="313">
        <v>24924.38</v>
      </c>
      <c r="AA36" s="312"/>
      <c r="AB36" s="313">
        <v>22031.8</v>
      </c>
      <c r="AC36" s="312"/>
      <c r="AD36" s="313">
        <v>22943.77</v>
      </c>
      <c r="AE36" s="462"/>
      <c r="AF36" s="462"/>
    </row>
    <row r="37" spans="1:32" x14ac:dyDescent="0.25">
      <c r="A37" s="485"/>
      <c r="B37" s="485"/>
      <c r="C37" s="485"/>
      <c r="D37" s="485"/>
      <c r="E37" s="485" t="s">
        <v>432</v>
      </c>
      <c r="F37" s="485"/>
      <c r="G37" s="485"/>
      <c r="H37" s="468">
        <f>ROUND(SUM(H34:H36),5)</f>
        <v>30236.27</v>
      </c>
      <c r="I37" s="312"/>
      <c r="J37" s="468">
        <f>ROUND(SUM(J34:J36),5)</f>
        <v>59849</v>
      </c>
      <c r="K37" s="312"/>
      <c r="L37" s="468">
        <f>ROUND(SUM(L34:L36),5)</f>
        <v>88593.57</v>
      </c>
      <c r="M37" s="312"/>
      <c r="N37" s="468">
        <f>ROUND(SUM(N34:N36),5)</f>
        <v>123266.56</v>
      </c>
      <c r="O37" s="312"/>
      <c r="P37" s="468">
        <f>ROUND(SUM(P34:P36),5)</f>
        <v>54040.12</v>
      </c>
      <c r="Q37" s="312"/>
      <c r="R37" s="468">
        <f>ROUND(SUM(R34:R36),5)</f>
        <v>80656.23</v>
      </c>
      <c r="S37" s="312"/>
      <c r="T37" s="468">
        <f>ROUND(SUM(T34:T36),5)</f>
        <v>99359.5</v>
      </c>
      <c r="U37" s="312"/>
      <c r="V37" s="468">
        <f>ROUND(SUM(V34:V36),5)</f>
        <v>116836.2</v>
      </c>
      <c r="W37" s="312"/>
      <c r="X37" s="468">
        <f>ROUND(SUM(X34:X36),5)</f>
        <v>145061.56</v>
      </c>
      <c r="Y37" s="312"/>
      <c r="Z37" s="468">
        <f>ROUND(SUM(Z34:Z36),5)</f>
        <v>89918.37</v>
      </c>
      <c r="AA37" s="312"/>
      <c r="AB37" s="468">
        <f>ROUND(SUM(AB34:AB36),5)</f>
        <v>113735.13</v>
      </c>
      <c r="AC37" s="312"/>
      <c r="AD37" s="468">
        <f>ROUND(SUM(AD34:AD36),5)</f>
        <v>74690.69</v>
      </c>
      <c r="AE37" s="462"/>
      <c r="AF37" s="462"/>
    </row>
    <row r="38" spans="1:32" x14ac:dyDescent="0.25">
      <c r="A38" s="485"/>
      <c r="B38" s="485"/>
      <c r="C38" s="485"/>
      <c r="D38" s="485"/>
      <c r="E38" s="485" t="s">
        <v>433</v>
      </c>
      <c r="F38" s="485"/>
      <c r="G38" s="485"/>
      <c r="H38" s="468"/>
      <c r="I38" s="312"/>
      <c r="J38" s="468"/>
      <c r="K38" s="312"/>
      <c r="L38" s="468"/>
      <c r="M38" s="312"/>
      <c r="N38" s="468"/>
      <c r="O38" s="312"/>
      <c r="P38" s="468"/>
      <c r="Q38" s="312"/>
      <c r="R38" s="468"/>
      <c r="S38" s="312"/>
      <c r="T38" s="468"/>
      <c r="U38" s="312"/>
      <c r="V38" s="468"/>
      <c r="W38" s="312"/>
      <c r="X38" s="468"/>
      <c r="Y38" s="312"/>
      <c r="Z38" s="468"/>
      <c r="AA38" s="312"/>
      <c r="AB38" s="468"/>
      <c r="AC38" s="312"/>
      <c r="AD38" s="468"/>
      <c r="AE38" s="462"/>
      <c r="AF38" s="462"/>
    </row>
    <row r="39" spans="1:32" x14ac:dyDescent="0.25">
      <c r="A39" s="485"/>
      <c r="B39" s="485"/>
      <c r="C39" s="485"/>
      <c r="D39" s="485"/>
      <c r="E39" s="485"/>
      <c r="F39" s="485" t="s">
        <v>434</v>
      </c>
      <c r="G39" s="485"/>
      <c r="H39" s="468">
        <v>434</v>
      </c>
      <c r="I39" s="312"/>
      <c r="J39" s="468">
        <v>434</v>
      </c>
      <c r="K39" s="312"/>
      <c r="L39" s="468">
        <v>434</v>
      </c>
      <c r="M39" s="312"/>
      <c r="N39" s="468">
        <v>434</v>
      </c>
      <c r="O39" s="312"/>
      <c r="P39" s="468">
        <v>34</v>
      </c>
      <c r="Q39" s="312"/>
      <c r="R39" s="468">
        <v>34</v>
      </c>
      <c r="S39" s="312"/>
      <c r="T39" s="468">
        <v>34</v>
      </c>
      <c r="U39" s="312"/>
      <c r="V39" s="468">
        <v>34</v>
      </c>
      <c r="W39" s="312"/>
      <c r="X39" s="468">
        <v>1034</v>
      </c>
      <c r="Y39" s="312"/>
      <c r="Z39" s="468">
        <v>1034</v>
      </c>
      <c r="AA39" s="312"/>
      <c r="AB39" s="468">
        <v>1034</v>
      </c>
      <c r="AC39" s="312"/>
      <c r="AD39" s="468">
        <v>1034</v>
      </c>
      <c r="AE39" s="462"/>
      <c r="AF39" s="462"/>
    </row>
    <row r="40" spans="1:32" x14ac:dyDescent="0.25">
      <c r="A40" s="485"/>
      <c r="B40" s="485"/>
      <c r="C40" s="485"/>
      <c r="D40" s="485"/>
      <c r="E40" s="485"/>
      <c r="F40" s="485" t="s">
        <v>435</v>
      </c>
      <c r="G40" s="485"/>
      <c r="H40" s="468">
        <v>1489.5</v>
      </c>
      <c r="I40" s="312"/>
      <c r="J40" s="468">
        <v>1489.5</v>
      </c>
      <c r="K40" s="312"/>
      <c r="L40" s="468">
        <v>1489.5</v>
      </c>
      <c r="M40" s="312"/>
      <c r="N40" s="468">
        <v>1489.5</v>
      </c>
      <c r="O40" s="312"/>
      <c r="P40" s="468">
        <v>1489.5</v>
      </c>
      <c r="Q40" s="312"/>
      <c r="R40" s="468">
        <v>1489.5</v>
      </c>
      <c r="S40" s="312"/>
      <c r="T40" s="468">
        <v>1489.5</v>
      </c>
      <c r="U40" s="312"/>
      <c r="V40" s="468">
        <v>1489.5</v>
      </c>
      <c r="W40" s="312"/>
      <c r="X40" s="468">
        <v>1489.5</v>
      </c>
      <c r="Y40" s="312"/>
      <c r="Z40" s="468">
        <v>1489.5</v>
      </c>
      <c r="AA40" s="312"/>
      <c r="AB40" s="468">
        <v>1489.5</v>
      </c>
      <c r="AC40" s="312"/>
      <c r="AD40" s="468">
        <v>1489.5</v>
      </c>
      <c r="AE40" s="462"/>
      <c r="AF40" s="462"/>
    </row>
    <row r="41" spans="1:32" x14ac:dyDescent="0.25">
      <c r="A41" s="485"/>
      <c r="B41" s="485"/>
      <c r="C41" s="485"/>
      <c r="D41" s="485"/>
      <c r="E41" s="485"/>
      <c r="F41" s="485" t="s">
        <v>436</v>
      </c>
      <c r="G41" s="485"/>
      <c r="H41" s="468">
        <v>35.29</v>
      </c>
      <c r="I41" s="312"/>
      <c r="J41" s="468">
        <v>35.29</v>
      </c>
      <c r="K41" s="312"/>
      <c r="L41" s="468">
        <v>35.29</v>
      </c>
      <c r="M41" s="312"/>
      <c r="N41" s="468">
        <v>35.29</v>
      </c>
      <c r="O41" s="312"/>
      <c r="P41" s="468">
        <v>35.29</v>
      </c>
      <c r="Q41" s="312"/>
      <c r="R41" s="468">
        <v>35.29</v>
      </c>
      <c r="S41" s="312"/>
      <c r="T41" s="468">
        <v>35.29</v>
      </c>
      <c r="U41" s="312"/>
      <c r="V41" s="468">
        <v>35.29</v>
      </c>
      <c r="W41" s="312"/>
      <c r="X41" s="468">
        <v>35.29</v>
      </c>
      <c r="Y41" s="312"/>
      <c r="Z41" s="468">
        <v>35.29</v>
      </c>
      <c r="AA41" s="312"/>
      <c r="AB41" s="468">
        <v>35.29</v>
      </c>
      <c r="AC41" s="312"/>
      <c r="AD41" s="468">
        <v>35.29</v>
      </c>
      <c r="AE41" s="462"/>
      <c r="AF41" s="462"/>
    </row>
    <row r="42" spans="1:32" x14ac:dyDescent="0.25">
      <c r="A42" s="485"/>
      <c r="B42" s="485"/>
      <c r="C42" s="485"/>
      <c r="D42" s="485"/>
      <c r="E42" s="485"/>
      <c r="F42" s="485" t="s">
        <v>437</v>
      </c>
      <c r="G42" s="485"/>
      <c r="H42" s="468">
        <v>527.45000000000005</v>
      </c>
      <c r="I42" s="312"/>
      <c r="J42" s="468">
        <v>527.45000000000005</v>
      </c>
      <c r="K42" s="312"/>
      <c r="L42" s="468">
        <v>463.58</v>
      </c>
      <c r="M42" s="312"/>
      <c r="N42" s="468">
        <v>463.58</v>
      </c>
      <c r="O42" s="312"/>
      <c r="P42" s="468">
        <v>713.58</v>
      </c>
      <c r="Q42" s="312"/>
      <c r="R42" s="468">
        <v>521.95000000000005</v>
      </c>
      <c r="S42" s="312"/>
      <c r="T42" s="468">
        <v>521.95000000000005</v>
      </c>
      <c r="U42" s="312"/>
      <c r="V42" s="468">
        <v>521.95000000000005</v>
      </c>
      <c r="W42" s="312"/>
      <c r="X42" s="468">
        <v>521.95000000000005</v>
      </c>
      <c r="Y42" s="312"/>
      <c r="Z42" s="468">
        <v>551.95000000000005</v>
      </c>
      <c r="AA42" s="312"/>
      <c r="AB42" s="468">
        <v>751.95</v>
      </c>
      <c r="AC42" s="312"/>
      <c r="AD42" s="468">
        <v>805.95</v>
      </c>
      <c r="AE42" s="462"/>
      <c r="AF42" s="462"/>
    </row>
    <row r="43" spans="1:32" x14ac:dyDescent="0.25">
      <c r="A43" s="485"/>
      <c r="B43" s="485"/>
      <c r="C43" s="485"/>
      <c r="D43" s="485"/>
      <c r="E43" s="485"/>
      <c r="F43" s="485" t="s">
        <v>438</v>
      </c>
      <c r="G43" s="485"/>
      <c r="H43" s="468">
        <v>4720.2299999999996</v>
      </c>
      <c r="I43" s="312"/>
      <c r="J43" s="468">
        <v>4720.2299999999996</v>
      </c>
      <c r="K43" s="312"/>
      <c r="L43" s="468">
        <v>4720.2299999999996</v>
      </c>
      <c r="M43" s="312"/>
      <c r="N43" s="468">
        <v>4720.2299999999996</v>
      </c>
      <c r="O43" s="312"/>
      <c r="P43" s="468">
        <v>4720.2299999999996</v>
      </c>
      <c r="Q43" s="312"/>
      <c r="R43" s="468">
        <v>4720.2299999999996</v>
      </c>
      <c r="S43" s="312"/>
      <c r="T43" s="468">
        <v>4720.2299999999996</v>
      </c>
      <c r="U43" s="312"/>
      <c r="V43" s="468">
        <v>4720.2299999999996</v>
      </c>
      <c r="W43" s="312"/>
      <c r="X43" s="468">
        <v>4520.2299999999996</v>
      </c>
      <c r="Y43" s="312"/>
      <c r="Z43" s="468">
        <v>4520.2299999999996</v>
      </c>
      <c r="AA43" s="312"/>
      <c r="AB43" s="468">
        <v>3354.73</v>
      </c>
      <c r="AC43" s="312"/>
      <c r="AD43" s="468">
        <v>3354.73</v>
      </c>
      <c r="AE43" s="462"/>
      <c r="AF43" s="462"/>
    </row>
    <row r="44" spans="1:32" x14ac:dyDescent="0.25">
      <c r="A44" s="485"/>
      <c r="B44" s="485"/>
      <c r="C44" s="485"/>
      <c r="D44" s="485"/>
      <c r="E44" s="485"/>
      <c r="F44" s="485" t="s">
        <v>439</v>
      </c>
      <c r="G44" s="485"/>
      <c r="H44" s="468">
        <v>1956.5</v>
      </c>
      <c r="I44" s="312"/>
      <c r="J44" s="468">
        <v>1956.5</v>
      </c>
      <c r="K44" s="312"/>
      <c r="L44" s="468">
        <v>1956.5</v>
      </c>
      <c r="M44" s="312"/>
      <c r="N44" s="468">
        <v>1287.5</v>
      </c>
      <c r="O44" s="312"/>
      <c r="P44" s="468">
        <v>799.5</v>
      </c>
      <c r="Q44" s="312"/>
      <c r="R44" s="468">
        <v>849.5</v>
      </c>
      <c r="S44" s="312"/>
      <c r="T44" s="468">
        <v>1300</v>
      </c>
      <c r="U44" s="312"/>
      <c r="V44" s="468">
        <v>1470</v>
      </c>
      <c r="W44" s="312"/>
      <c r="X44" s="468">
        <v>3120</v>
      </c>
      <c r="Y44" s="312"/>
      <c r="Z44" s="468">
        <v>3570</v>
      </c>
      <c r="AA44" s="312"/>
      <c r="AB44" s="468">
        <v>3820</v>
      </c>
      <c r="AC44" s="312"/>
      <c r="AD44" s="468">
        <v>3820</v>
      </c>
      <c r="AE44" s="124"/>
      <c r="AF44" s="353"/>
    </row>
    <row r="45" spans="1:32" x14ac:dyDescent="0.25">
      <c r="A45" s="485"/>
      <c r="B45" s="485"/>
      <c r="C45" s="485"/>
      <c r="D45" s="485"/>
      <c r="E45" s="485"/>
      <c r="F45" s="485" t="s">
        <v>440</v>
      </c>
      <c r="G45" s="485"/>
      <c r="H45" s="468">
        <v>63.92</v>
      </c>
      <c r="I45" s="312"/>
      <c r="J45" s="468">
        <v>63.92</v>
      </c>
      <c r="K45" s="312"/>
      <c r="L45" s="468">
        <v>63.92</v>
      </c>
      <c r="M45" s="312"/>
      <c r="N45" s="468">
        <v>63.92</v>
      </c>
      <c r="O45" s="312"/>
      <c r="P45" s="468">
        <v>63.92</v>
      </c>
      <c r="Q45" s="312"/>
      <c r="R45" s="468">
        <v>63.92</v>
      </c>
      <c r="S45" s="312"/>
      <c r="T45" s="468">
        <v>63.92</v>
      </c>
      <c r="U45" s="312"/>
      <c r="V45" s="468">
        <v>63.92</v>
      </c>
      <c r="W45" s="312"/>
      <c r="X45" s="468">
        <v>63.92</v>
      </c>
      <c r="Y45" s="312"/>
      <c r="Z45" s="468">
        <v>63.92</v>
      </c>
      <c r="AA45" s="312"/>
      <c r="AB45" s="468">
        <v>63.92</v>
      </c>
      <c r="AC45" s="312"/>
      <c r="AD45" s="468">
        <v>63.92</v>
      </c>
      <c r="AE45" s="124"/>
      <c r="AF45" s="353"/>
    </row>
    <row r="46" spans="1:32" x14ac:dyDescent="0.25">
      <c r="A46" s="485"/>
      <c r="B46" s="485"/>
      <c r="C46" s="485"/>
      <c r="D46" s="485"/>
      <c r="E46" s="485"/>
      <c r="F46" s="485" t="s">
        <v>441</v>
      </c>
      <c r="G46" s="485"/>
      <c r="H46" s="468">
        <v>500</v>
      </c>
      <c r="I46" s="312"/>
      <c r="J46" s="468">
        <v>500</v>
      </c>
      <c r="K46" s="312"/>
      <c r="L46" s="468">
        <v>500</v>
      </c>
      <c r="M46" s="312"/>
      <c r="N46" s="468">
        <v>500</v>
      </c>
      <c r="O46" s="312"/>
      <c r="P46" s="468">
        <v>500</v>
      </c>
      <c r="Q46" s="312"/>
      <c r="R46" s="468">
        <v>500</v>
      </c>
      <c r="S46" s="312"/>
      <c r="T46" s="468">
        <v>500</v>
      </c>
      <c r="U46" s="312"/>
      <c r="V46" s="468">
        <v>500</v>
      </c>
      <c r="W46" s="312"/>
      <c r="X46" s="468">
        <v>500</v>
      </c>
      <c r="Y46" s="312"/>
      <c r="Z46" s="468">
        <v>500</v>
      </c>
      <c r="AA46" s="312"/>
      <c r="AB46" s="468">
        <v>500</v>
      </c>
      <c r="AC46" s="312"/>
      <c r="AD46" s="468">
        <v>500</v>
      </c>
      <c r="AE46" s="124"/>
      <c r="AF46" s="353"/>
    </row>
    <row r="47" spans="1:32" x14ac:dyDescent="0.25">
      <c r="A47" s="485"/>
      <c r="B47" s="485"/>
      <c r="C47" s="485"/>
      <c r="D47" s="485"/>
      <c r="E47" s="485"/>
      <c r="F47" s="485" t="s">
        <v>442</v>
      </c>
      <c r="G47" s="485"/>
      <c r="H47" s="468">
        <v>449.03</v>
      </c>
      <c r="I47" s="312"/>
      <c r="J47" s="468">
        <v>449.03</v>
      </c>
      <c r="K47" s="312"/>
      <c r="L47" s="468">
        <v>449.03</v>
      </c>
      <c r="M47" s="312"/>
      <c r="N47" s="468">
        <v>449.03</v>
      </c>
      <c r="O47" s="312"/>
      <c r="P47" s="468">
        <v>351.03</v>
      </c>
      <c r="Q47" s="312"/>
      <c r="R47" s="468">
        <v>351.03</v>
      </c>
      <c r="S47" s="312"/>
      <c r="T47" s="468">
        <v>263.52999999999997</v>
      </c>
      <c r="U47" s="312"/>
      <c r="V47" s="468">
        <v>263.52999999999997</v>
      </c>
      <c r="W47" s="312"/>
      <c r="X47" s="468">
        <v>263.52999999999997</v>
      </c>
      <c r="Y47" s="312"/>
      <c r="Z47" s="468">
        <v>263.52999999999997</v>
      </c>
      <c r="AA47" s="312"/>
      <c r="AB47" s="468">
        <v>263.52999999999997</v>
      </c>
      <c r="AC47" s="312"/>
      <c r="AD47" s="468">
        <v>263.52999999999997</v>
      </c>
      <c r="AE47" s="124"/>
      <c r="AF47" s="353"/>
    </row>
    <row r="48" spans="1:32" x14ac:dyDescent="0.25">
      <c r="A48" s="485"/>
      <c r="B48" s="485"/>
      <c r="C48" s="485"/>
      <c r="D48" s="485"/>
      <c r="E48" s="485"/>
      <c r="F48" s="485" t="s">
        <v>443</v>
      </c>
      <c r="G48" s="485"/>
      <c r="H48" s="468">
        <v>100</v>
      </c>
      <c r="I48" s="312"/>
      <c r="J48" s="468">
        <v>100</v>
      </c>
      <c r="K48" s="312"/>
      <c r="L48" s="468">
        <v>100</v>
      </c>
      <c r="M48" s="312"/>
      <c r="N48" s="468">
        <v>100</v>
      </c>
      <c r="O48" s="312"/>
      <c r="P48" s="468">
        <v>100</v>
      </c>
      <c r="Q48" s="312"/>
      <c r="R48" s="468">
        <v>100</v>
      </c>
      <c r="S48" s="312"/>
      <c r="T48" s="468">
        <v>100</v>
      </c>
      <c r="U48" s="312"/>
      <c r="V48" s="468">
        <v>100</v>
      </c>
      <c r="W48" s="312"/>
      <c r="X48" s="468">
        <v>100</v>
      </c>
      <c r="Y48" s="312"/>
      <c r="Z48" s="468">
        <v>100</v>
      </c>
      <c r="AA48" s="312"/>
      <c r="AB48" s="468">
        <v>100</v>
      </c>
      <c r="AC48" s="312"/>
      <c r="AD48" s="468">
        <v>100</v>
      </c>
      <c r="AE48" s="124"/>
      <c r="AF48" s="353"/>
    </row>
    <row r="49" spans="1:32" x14ac:dyDescent="0.25">
      <c r="A49" s="485"/>
      <c r="B49" s="485"/>
      <c r="C49" s="485"/>
      <c r="D49" s="485"/>
      <c r="E49" s="485"/>
      <c r="F49" s="485" t="s">
        <v>444</v>
      </c>
      <c r="G49" s="485"/>
      <c r="H49" s="468">
        <v>500.21</v>
      </c>
      <c r="I49" s="312"/>
      <c r="J49" s="468">
        <v>500.21</v>
      </c>
      <c r="K49" s="312"/>
      <c r="L49" s="468">
        <v>3562.71</v>
      </c>
      <c r="M49" s="312"/>
      <c r="N49" s="468">
        <v>3562.71</v>
      </c>
      <c r="O49" s="312"/>
      <c r="P49" s="468">
        <v>3562.71</v>
      </c>
      <c r="Q49" s="312"/>
      <c r="R49" s="468">
        <v>3562.71</v>
      </c>
      <c r="S49" s="312"/>
      <c r="T49" s="468">
        <v>4562.71</v>
      </c>
      <c r="U49" s="312"/>
      <c r="V49" s="468">
        <v>4562.71</v>
      </c>
      <c r="W49" s="312"/>
      <c r="X49" s="468">
        <v>4162.71</v>
      </c>
      <c r="Y49" s="312"/>
      <c r="Z49" s="468">
        <v>4162.71</v>
      </c>
      <c r="AA49" s="312"/>
      <c r="AB49" s="468">
        <v>4162.71</v>
      </c>
      <c r="AC49" s="312"/>
      <c r="AD49" s="468">
        <v>4327.71</v>
      </c>
      <c r="AE49" s="124"/>
      <c r="AF49" s="353"/>
    </row>
    <row r="50" spans="1:32" x14ac:dyDescent="0.25">
      <c r="A50" s="485"/>
      <c r="B50" s="485"/>
      <c r="C50" s="485"/>
      <c r="D50" s="485"/>
      <c r="E50" s="485"/>
      <c r="F50" s="485" t="s">
        <v>445</v>
      </c>
      <c r="G50" s="485"/>
      <c r="H50" s="468">
        <v>1668.29</v>
      </c>
      <c r="I50" s="312"/>
      <c r="J50" s="468">
        <v>1668.29</v>
      </c>
      <c r="K50" s="312"/>
      <c r="L50" s="468">
        <v>1668.29</v>
      </c>
      <c r="M50" s="312"/>
      <c r="N50" s="468">
        <v>1668.29</v>
      </c>
      <c r="O50" s="312"/>
      <c r="P50" s="468">
        <v>1668.29</v>
      </c>
      <c r="Q50" s="312"/>
      <c r="R50" s="468">
        <v>1668.29</v>
      </c>
      <c r="S50" s="312"/>
      <c r="T50" s="468">
        <v>1668.29</v>
      </c>
      <c r="U50" s="312"/>
      <c r="V50" s="468">
        <v>1668.29</v>
      </c>
      <c r="W50" s="312"/>
      <c r="X50" s="468">
        <v>1668.29</v>
      </c>
      <c r="Y50" s="312"/>
      <c r="Z50" s="468">
        <v>1668.29</v>
      </c>
      <c r="AA50" s="312"/>
      <c r="AB50" s="468">
        <v>1668.29</v>
      </c>
      <c r="AC50" s="312"/>
      <c r="AD50" s="468">
        <v>1668.29</v>
      </c>
      <c r="AE50" s="124"/>
      <c r="AF50" s="353"/>
    </row>
    <row r="51" spans="1:32" x14ac:dyDescent="0.25">
      <c r="A51" s="485"/>
      <c r="B51" s="485"/>
      <c r="C51" s="485"/>
      <c r="D51" s="485"/>
      <c r="E51" s="485"/>
      <c r="F51" s="485" t="s">
        <v>446</v>
      </c>
      <c r="G51" s="485"/>
      <c r="H51" s="468">
        <v>7812.39</v>
      </c>
      <c r="I51" s="312"/>
      <c r="J51" s="468">
        <v>7227.89</v>
      </c>
      <c r="K51" s="312"/>
      <c r="L51" s="468">
        <v>7227.89</v>
      </c>
      <c r="M51" s="312"/>
      <c r="N51" s="468">
        <v>7227.89</v>
      </c>
      <c r="O51" s="312"/>
      <c r="P51" s="468">
        <v>7227.89</v>
      </c>
      <c r="Q51" s="312"/>
      <c r="R51" s="468">
        <v>7227.89</v>
      </c>
      <c r="S51" s="312"/>
      <c r="T51" s="468">
        <v>7227.89</v>
      </c>
      <c r="U51" s="312"/>
      <c r="V51" s="468">
        <v>5891.89</v>
      </c>
      <c r="W51" s="312"/>
      <c r="X51" s="468">
        <v>5891.89</v>
      </c>
      <c r="Y51" s="312"/>
      <c r="Z51" s="468">
        <v>5891.89</v>
      </c>
      <c r="AA51" s="312"/>
      <c r="AB51" s="468">
        <v>5891.89</v>
      </c>
      <c r="AC51" s="312"/>
      <c r="AD51" s="468">
        <v>6841.89</v>
      </c>
      <c r="AE51" s="124"/>
      <c r="AF51" s="353"/>
    </row>
    <row r="52" spans="1:32" x14ac:dyDescent="0.25">
      <c r="A52" s="485"/>
      <c r="B52" s="485"/>
      <c r="C52" s="485"/>
      <c r="D52" s="485"/>
      <c r="E52" s="485"/>
      <c r="F52" s="485" t="s">
        <v>447</v>
      </c>
      <c r="G52" s="485"/>
      <c r="H52" s="468">
        <v>3374.08</v>
      </c>
      <c r="I52" s="312"/>
      <c r="J52" s="468">
        <v>3291.83</v>
      </c>
      <c r="K52" s="312"/>
      <c r="L52" s="468">
        <v>3411.83</v>
      </c>
      <c r="M52" s="312"/>
      <c r="N52" s="468">
        <v>3411.83</v>
      </c>
      <c r="O52" s="312"/>
      <c r="P52" s="468">
        <v>3511.83</v>
      </c>
      <c r="Q52" s="312"/>
      <c r="R52" s="468">
        <v>3546.83</v>
      </c>
      <c r="S52" s="312"/>
      <c r="T52" s="468">
        <v>2506.9499999999998</v>
      </c>
      <c r="U52" s="312"/>
      <c r="V52" s="468">
        <v>2249.6999999999998</v>
      </c>
      <c r="W52" s="312"/>
      <c r="X52" s="468">
        <v>2299.6999999999998</v>
      </c>
      <c r="Y52" s="312"/>
      <c r="Z52" s="468">
        <v>2299.6999999999998</v>
      </c>
      <c r="AA52" s="312"/>
      <c r="AB52" s="468">
        <v>3094.7</v>
      </c>
      <c r="AC52" s="312"/>
      <c r="AD52" s="468">
        <v>2836.95</v>
      </c>
      <c r="AE52" s="124"/>
      <c r="AF52" s="353"/>
    </row>
    <row r="53" spans="1:32" x14ac:dyDescent="0.25">
      <c r="A53" s="485"/>
      <c r="B53" s="485"/>
      <c r="C53" s="485"/>
      <c r="D53" s="485"/>
      <c r="E53" s="485"/>
      <c r="F53" s="485" t="s">
        <v>448</v>
      </c>
      <c r="G53" s="485"/>
      <c r="H53" s="468">
        <v>14601.61</v>
      </c>
      <c r="I53" s="312"/>
      <c r="J53" s="468">
        <v>14013.61</v>
      </c>
      <c r="K53" s="312"/>
      <c r="L53" s="468">
        <v>12669.61</v>
      </c>
      <c r="M53" s="312"/>
      <c r="N53" s="468">
        <v>12669.61</v>
      </c>
      <c r="O53" s="312"/>
      <c r="P53" s="468">
        <v>12512.11</v>
      </c>
      <c r="Q53" s="312"/>
      <c r="R53" s="468">
        <v>12512.11</v>
      </c>
      <c r="S53" s="312"/>
      <c r="T53" s="468">
        <v>9201.58</v>
      </c>
      <c r="U53" s="312"/>
      <c r="V53" s="468">
        <v>9201.58</v>
      </c>
      <c r="W53" s="312"/>
      <c r="X53" s="468">
        <v>9201.58</v>
      </c>
      <c r="Y53" s="312"/>
      <c r="Z53" s="468">
        <v>9201.58</v>
      </c>
      <c r="AA53" s="312"/>
      <c r="AB53" s="468">
        <v>9201.58</v>
      </c>
      <c r="AC53" s="312"/>
      <c r="AD53" s="468">
        <v>9201.58</v>
      </c>
      <c r="AE53" s="124"/>
      <c r="AF53" s="353"/>
    </row>
    <row r="54" spans="1:32" x14ac:dyDescent="0.25">
      <c r="A54" s="485"/>
      <c r="B54" s="485"/>
      <c r="C54" s="485"/>
      <c r="D54" s="485"/>
      <c r="E54" s="485"/>
      <c r="F54" s="485" t="s">
        <v>449</v>
      </c>
      <c r="G54" s="485"/>
      <c r="H54" s="468">
        <v>2366.7600000000002</v>
      </c>
      <c r="I54" s="312"/>
      <c r="J54" s="468">
        <v>2466.7600000000002</v>
      </c>
      <c r="K54" s="312"/>
      <c r="L54" s="468">
        <v>2466.7600000000002</v>
      </c>
      <c r="M54" s="312"/>
      <c r="N54" s="468">
        <v>2466.7600000000002</v>
      </c>
      <c r="O54" s="312"/>
      <c r="P54" s="468">
        <v>2466.7600000000002</v>
      </c>
      <c r="Q54" s="312"/>
      <c r="R54" s="468">
        <v>2466.7600000000002</v>
      </c>
      <c r="S54" s="312"/>
      <c r="T54" s="468">
        <v>2466.7600000000002</v>
      </c>
      <c r="U54" s="312"/>
      <c r="V54" s="468">
        <v>2466.7600000000002</v>
      </c>
      <c r="W54" s="312"/>
      <c r="X54" s="468">
        <v>2506.7600000000002</v>
      </c>
      <c r="Y54" s="312"/>
      <c r="Z54" s="468">
        <v>2506.7600000000002</v>
      </c>
      <c r="AA54" s="312"/>
      <c r="AB54" s="468">
        <v>2506.7600000000002</v>
      </c>
      <c r="AC54" s="312"/>
      <c r="AD54" s="468">
        <v>2506.7600000000002</v>
      </c>
      <c r="AE54" s="124"/>
      <c r="AF54" s="353"/>
    </row>
    <row r="55" spans="1:32" x14ac:dyDescent="0.25">
      <c r="A55" s="485"/>
      <c r="B55" s="485"/>
      <c r="C55" s="485"/>
      <c r="D55" s="485"/>
      <c r="E55" s="485"/>
      <c r="F55" s="485" t="s">
        <v>450</v>
      </c>
      <c r="G55" s="485"/>
      <c r="H55" s="468"/>
      <c r="I55" s="312"/>
      <c r="J55" s="468"/>
      <c r="K55" s="312"/>
      <c r="L55" s="468"/>
      <c r="M55" s="312"/>
      <c r="N55" s="468"/>
      <c r="O55" s="312"/>
      <c r="P55" s="468"/>
      <c r="Q55" s="312"/>
      <c r="R55" s="468"/>
      <c r="S55" s="312"/>
      <c r="T55" s="468"/>
      <c r="U55" s="312"/>
      <c r="V55" s="468"/>
      <c r="W55" s="312"/>
      <c r="X55" s="468"/>
      <c r="Y55" s="312"/>
      <c r="Z55" s="468"/>
      <c r="AA55" s="312"/>
      <c r="AB55" s="468"/>
      <c r="AC55" s="312"/>
      <c r="AD55" s="468"/>
      <c r="AE55" s="124"/>
      <c r="AF55" s="353"/>
    </row>
    <row r="56" spans="1:32" x14ac:dyDescent="0.25">
      <c r="A56" s="485"/>
      <c r="B56" s="485"/>
      <c r="C56" s="485"/>
      <c r="D56" s="485"/>
      <c r="E56" s="485"/>
      <c r="F56" s="485"/>
      <c r="G56" s="485" t="s">
        <v>451</v>
      </c>
      <c r="H56" s="468">
        <v>-12880.36</v>
      </c>
      <c r="I56" s="312"/>
      <c r="J56" s="468">
        <v>-6132.86</v>
      </c>
      <c r="K56" s="312"/>
      <c r="L56" s="468">
        <v>0</v>
      </c>
      <c r="M56" s="312"/>
      <c r="N56" s="468">
        <v>0</v>
      </c>
      <c r="O56" s="312"/>
      <c r="P56" s="468">
        <v>0</v>
      </c>
      <c r="Q56" s="312"/>
      <c r="R56" s="468">
        <v>0</v>
      </c>
      <c r="S56" s="312"/>
      <c r="T56" s="468">
        <v>0</v>
      </c>
      <c r="U56" s="312"/>
      <c r="V56" s="468">
        <v>0</v>
      </c>
      <c r="W56" s="312"/>
      <c r="X56" s="468">
        <v>0</v>
      </c>
      <c r="Y56" s="312"/>
      <c r="Z56" s="468">
        <v>0</v>
      </c>
      <c r="AA56" s="312"/>
      <c r="AB56" s="468">
        <v>0</v>
      </c>
      <c r="AC56" s="312"/>
      <c r="AD56" s="468">
        <v>0</v>
      </c>
      <c r="AE56" s="124"/>
      <c r="AF56" s="353"/>
    </row>
    <row r="57" spans="1:32" ht="15.75" thickBot="1" x14ac:dyDescent="0.3">
      <c r="A57" s="485"/>
      <c r="B57" s="485"/>
      <c r="C57" s="485"/>
      <c r="D57" s="485"/>
      <c r="E57" s="485"/>
      <c r="F57" s="485"/>
      <c r="G57" s="485" t="s">
        <v>452</v>
      </c>
      <c r="H57" s="313">
        <v>23853.82</v>
      </c>
      <c r="I57" s="312"/>
      <c r="J57" s="313">
        <v>24328.82</v>
      </c>
      <c r="K57" s="312"/>
      <c r="L57" s="313">
        <v>35697.449999999997</v>
      </c>
      <c r="M57" s="312"/>
      <c r="N57" s="313">
        <v>33289.449999999997</v>
      </c>
      <c r="O57" s="312"/>
      <c r="P57" s="313">
        <v>33289.449999999997</v>
      </c>
      <c r="Q57" s="312"/>
      <c r="R57" s="313">
        <v>33289.449999999997</v>
      </c>
      <c r="S57" s="312"/>
      <c r="T57" s="313">
        <v>39359.449999999997</v>
      </c>
      <c r="U57" s="312"/>
      <c r="V57" s="313">
        <v>43359.45</v>
      </c>
      <c r="W57" s="312"/>
      <c r="X57" s="313">
        <v>49859.45</v>
      </c>
      <c r="Y57" s="312"/>
      <c r="Z57" s="313">
        <v>53559.45</v>
      </c>
      <c r="AA57" s="312"/>
      <c r="AB57" s="313">
        <v>53559.45</v>
      </c>
      <c r="AC57" s="312"/>
      <c r="AD57" s="313">
        <v>57059.45</v>
      </c>
      <c r="AE57" s="124"/>
      <c r="AF57" s="353"/>
    </row>
    <row r="58" spans="1:32" x14ac:dyDescent="0.25">
      <c r="A58" s="485"/>
      <c r="B58" s="485"/>
      <c r="C58" s="485"/>
      <c r="D58" s="485"/>
      <c r="E58" s="485"/>
      <c r="F58" s="485" t="s">
        <v>453</v>
      </c>
      <c r="G58" s="485"/>
      <c r="H58" s="468">
        <f>ROUND(SUM(H55:H57),5)</f>
        <v>10973.46</v>
      </c>
      <c r="I58" s="312"/>
      <c r="J58" s="468">
        <f>ROUND(SUM(J55:J57),5)</f>
        <v>18195.96</v>
      </c>
      <c r="K58" s="312"/>
      <c r="L58" s="468">
        <f>ROUND(SUM(L55:L57),5)</f>
        <v>35697.449999999997</v>
      </c>
      <c r="M58" s="312"/>
      <c r="N58" s="468">
        <f>ROUND(SUM(N55:N57),5)</f>
        <v>33289.449999999997</v>
      </c>
      <c r="O58" s="312"/>
      <c r="P58" s="468">
        <f>ROUND(SUM(P55:P57),5)</f>
        <v>33289.449999999997</v>
      </c>
      <c r="Q58" s="312"/>
      <c r="R58" s="468">
        <f>ROUND(SUM(R55:R57),5)</f>
        <v>33289.449999999997</v>
      </c>
      <c r="S58" s="312"/>
      <c r="T58" s="468">
        <f>ROUND(SUM(T55:T57),5)</f>
        <v>39359.449999999997</v>
      </c>
      <c r="U58" s="312"/>
      <c r="V58" s="468">
        <f>ROUND(SUM(V55:V57),5)</f>
        <v>43359.45</v>
      </c>
      <c r="W58" s="312"/>
      <c r="X58" s="468">
        <f>ROUND(SUM(X55:X57),5)</f>
        <v>49859.45</v>
      </c>
      <c r="Y58" s="312"/>
      <c r="Z58" s="468">
        <f>ROUND(SUM(Z55:Z57),5)</f>
        <v>53559.45</v>
      </c>
      <c r="AA58" s="312"/>
      <c r="AB58" s="468">
        <f>ROUND(SUM(AB55:AB57),5)</f>
        <v>53559.45</v>
      </c>
      <c r="AC58" s="312"/>
      <c r="AD58" s="468">
        <f>ROUND(SUM(AD55:AD57),5)</f>
        <v>57059.45</v>
      </c>
      <c r="AE58" s="124"/>
      <c r="AF58" s="353"/>
    </row>
    <row r="59" spans="1:32" x14ac:dyDescent="0.25">
      <c r="A59" s="485"/>
      <c r="B59" s="485"/>
      <c r="C59" s="485"/>
      <c r="D59" s="485"/>
      <c r="E59" s="485"/>
      <c r="F59" s="485" t="s">
        <v>454</v>
      </c>
      <c r="G59" s="485"/>
      <c r="H59" s="468">
        <v>837.62</v>
      </c>
      <c r="I59" s="312"/>
      <c r="J59" s="468">
        <v>1285.1199999999999</v>
      </c>
      <c r="K59" s="312"/>
      <c r="L59" s="468">
        <v>1285.1199999999999</v>
      </c>
      <c r="M59" s="312"/>
      <c r="N59" s="468">
        <v>1285.1199999999999</v>
      </c>
      <c r="O59" s="312"/>
      <c r="P59" s="468">
        <v>1285.1199999999999</v>
      </c>
      <c r="Q59" s="312"/>
      <c r="R59" s="468">
        <v>1285.1199999999999</v>
      </c>
      <c r="S59" s="312"/>
      <c r="T59" s="468">
        <v>1285.1199999999999</v>
      </c>
      <c r="U59" s="312"/>
      <c r="V59" s="468">
        <v>1155.82</v>
      </c>
      <c r="W59" s="312"/>
      <c r="X59" s="468">
        <v>1155.82</v>
      </c>
      <c r="Y59" s="312"/>
      <c r="Z59" s="468">
        <v>1155.82</v>
      </c>
      <c r="AA59" s="312"/>
      <c r="AB59" s="468">
        <v>1155.82</v>
      </c>
      <c r="AC59" s="312"/>
      <c r="AD59" s="468">
        <v>1155.82</v>
      </c>
      <c r="AE59" s="124"/>
      <c r="AF59" s="353"/>
    </row>
    <row r="60" spans="1:32" x14ac:dyDescent="0.25">
      <c r="A60" s="485"/>
      <c r="B60" s="485"/>
      <c r="C60" s="485"/>
      <c r="D60" s="485"/>
      <c r="E60" s="485"/>
      <c r="F60" s="485" t="s">
        <v>455</v>
      </c>
      <c r="G60" s="485"/>
      <c r="H60" s="468">
        <v>17056.2</v>
      </c>
      <c r="I60" s="312"/>
      <c r="J60" s="468">
        <v>15121.2</v>
      </c>
      <c r="K60" s="312"/>
      <c r="L60" s="468">
        <v>12266.2</v>
      </c>
      <c r="M60" s="312"/>
      <c r="N60" s="468">
        <v>-2368.8200000000002</v>
      </c>
      <c r="O60" s="312"/>
      <c r="P60" s="468">
        <v>-1968.82</v>
      </c>
      <c r="Q60" s="312"/>
      <c r="R60" s="468">
        <v>-593.82000000000005</v>
      </c>
      <c r="S60" s="312"/>
      <c r="T60" s="468">
        <v>-218.82</v>
      </c>
      <c r="U60" s="312"/>
      <c r="V60" s="468">
        <v>2131.1799999999998</v>
      </c>
      <c r="W60" s="312"/>
      <c r="X60" s="468">
        <v>4116.18</v>
      </c>
      <c r="Y60" s="312"/>
      <c r="Z60" s="468">
        <v>4316.18</v>
      </c>
      <c r="AA60" s="312"/>
      <c r="AB60" s="468">
        <v>4466.18</v>
      </c>
      <c r="AC60" s="312"/>
      <c r="AD60" s="468">
        <v>4466.18</v>
      </c>
      <c r="AE60" s="124"/>
      <c r="AF60" s="353"/>
    </row>
    <row r="61" spans="1:32" x14ac:dyDescent="0.25">
      <c r="A61" s="485"/>
      <c r="B61" s="485"/>
      <c r="C61" s="485"/>
      <c r="D61" s="485"/>
      <c r="E61" s="485"/>
      <c r="F61" s="485" t="s">
        <v>456</v>
      </c>
      <c r="G61" s="485"/>
      <c r="H61" s="468">
        <v>500</v>
      </c>
      <c r="I61" s="312"/>
      <c r="J61" s="468">
        <v>500</v>
      </c>
      <c r="K61" s="312"/>
      <c r="L61" s="468">
        <v>500</v>
      </c>
      <c r="M61" s="312"/>
      <c r="N61" s="468">
        <v>500</v>
      </c>
      <c r="O61" s="312"/>
      <c r="P61" s="468">
        <v>5500</v>
      </c>
      <c r="Q61" s="312"/>
      <c r="R61" s="468">
        <v>5500</v>
      </c>
      <c r="S61" s="312"/>
      <c r="T61" s="468">
        <v>5500</v>
      </c>
      <c r="U61" s="312"/>
      <c r="V61" s="468">
        <v>5500</v>
      </c>
      <c r="W61" s="312"/>
      <c r="X61" s="468">
        <v>5500</v>
      </c>
      <c r="Y61" s="312"/>
      <c r="Z61" s="468">
        <v>5500</v>
      </c>
      <c r="AA61" s="312"/>
      <c r="AB61" s="468">
        <v>5500</v>
      </c>
      <c r="AC61" s="312"/>
      <c r="AD61" s="468">
        <v>5500</v>
      </c>
      <c r="AE61" s="124"/>
      <c r="AF61" s="353"/>
    </row>
    <row r="62" spans="1:32" x14ac:dyDescent="0.25">
      <c r="A62" s="485"/>
      <c r="B62" s="485"/>
      <c r="C62" s="485"/>
      <c r="D62" s="485"/>
      <c r="E62" s="485"/>
      <c r="F62" s="485" t="s">
        <v>457</v>
      </c>
      <c r="G62" s="485"/>
      <c r="H62" s="468">
        <v>40</v>
      </c>
      <c r="I62" s="312"/>
      <c r="J62" s="468">
        <v>40</v>
      </c>
      <c r="K62" s="312"/>
      <c r="L62" s="468">
        <v>40</v>
      </c>
      <c r="M62" s="312"/>
      <c r="N62" s="468">
        <v>40</v>
      </c>
      <c r="O62" s="312"/>
      <c r="P62" s="468">
        <v>40</v>
      </c>
      <c r="Q62" s="312"/>
      <c r="R62" s="468">
        <v>40</v>
      </c>
      <c r="S62" s="312"/>
      <c r="T62" s="468">
        <v>40</v>
      </c>
      <c r="U62" s="312"/>
      <c r="V62" s="468">
        <v>40</v>
      </c>
      <c r="W62" s="312"/>
      <c r="X62" s="468">
        <v>40</v>
      </c>
      <c r="Y62" s="312"/>
      <c r="Z62" s="468">
        <v>40</v>
      </c>
      <c r="AA62" s="312"/>
      <c r="AB62" s="468">
        <v>40</v>
      </c>
      <c r="AC62" s="312"/>
      <c r="AD62" s="468">
        <v>40</v>
      </c>
      <c r="AE62" s="124"/>
      <c r="AF62" s="353"/>
    </row>
    <row r="63" spans="1:32" x14ac:dyDescent="0.25">
      <c r="A63" s="485"/>
      <c r="B63" s="485"/>
      <c r="C63" s="485"/>
      <c r="D63" s="485"/>
      <c r="E63" s="485"/>
      <c r="F63" s="485" t="s">
        <v>458</v>
      </c>
      <c r="G63" s="485"/>
      <c r="H63" s="468">
        <v>0</v>
      </c>
      <c r="I63" s="312"/>
      <c r="J63" s="468">
        <v>0</v>
      </c>
      <c r="K63" s="312"/>
      <c r="L63" s="468">
        <v>-600</v>
      </c>
      <c r="M63" s="312"/>
      <c r="N63" s="468">
        <v>-600</v>
      </c>
      <c r="O63" s="312"/>
      <c r="P63" s="468">
        <v>-600</v>
      </c>
      <c r="Q63" s="312"/>
      <c r="R63" s="468">
        <v>-600</v>
      </c>
      <c r="S63" s="312"/>
      <c r="T63" s="468">
        <v>0</v>
      </c>
      <c r="U63" s="312"/>
      <c r="V63" s="468">
        <v>0</v>
      </c>
      <c r="W63" s="312"/>
      <c r="X63" s="468">
        <v>0</v>
      </c>
      <c r="Y63" s="312"/>
      <c r="Z63" s="468">
        <v>0</v>
      </c>
      <c r="AA63" s="312"/>
      <c r="AB63" s="468">
        <v>0</v>
      </c>
      <c r="AC63" s="312"/>
      <c r="AD63" s="468">
        <v>0</v>
      </c>
      <c r="AE63" s="124"/>
      <c r="AF63" s="353"/>
    </row>
    <row r="64" spans="1:32" x14ac:dyDescent="0.25">
      <c r="A64" s="485"/>
      <c r="B64" s="485"/>
      <c r="C64" s="485"/>
      <c r="D64" s="485"/>
      <c r="E64" s="485"/>
      <c r="F64" s="485" t="s">
        <v>459</v>
      </c>
      <c r="G64" s="485"/>
      <c r="H64" s="468">
        <v>4425.1400000000003</v>
      </c>
      <c r="I64" s="312"/>
      <c r="J64" s="468">
        <v>4485.1400000000003</v>
      </c>
      <c r="K64" s="312"/>
      <c r="L64" s="468">
        <v>3877.14</v>
      </c>
      <c r="M64" s="312"/>
      <c r="N64" s="468">
        <v>3877.14</v>
      </c>
      <c r="O64" s="312"/>
      <c r="P64" s="468">
        <v>3877.14</v>
      </c>
      <c r="Q64" s="312"/>
      <c r="R64" s="468">
        <v>4127.1400000000003</v>
      </c>
      <c r="S64" s="312"/>
      <c r="T64" s="468">
        <v>3588.14</v>
      </c>
      <c r="U64" s="312"/>
      <c r="V64" s="468">
        <v>3588.14</v>
      </c>
      <c r="W64" s="312"/>
      <c r="X64" s="468">
        <v>3588.14</v>
      </c>
      <c r="Y64" s="312"/>
      <c r="Z64" s="468">
        <v>3588.14</v>
      </c>
      <c r="AA64" s="312"/>
      <c r="AB64" s="468">
        <v>3056.14</v>
      </c>
      <c r="AC64" s="312"/>
      <c r="AD64" s="468">
        <v>3056.14</v>
      </c>
      <c r="AE64" s="124"/>
      <c r="AF64" s="353"/>
    </row>
    <row r="65" spans="1:32" x14ac:dyDescent="0.25">
      <c r="A65" s="485"/>
      <c r="B65" s="485"/>
      <c r="C65" s="485"/>
      <c r="D65" s="485"/>
      <c r="E65" s="485"/>
      <c r="F65" s="485" t="s">
        <v>460</v>
      </c>
      <c r="G65" s="485"/>
      <c r="H65" s="468">
        <v>1256.8599999999999</v>
      </c>
      <c r="I65" s="312"/>
      <c r="J65" s="468">
        <v>1256.8599999999999</v>
      </c>
      <c r="K65" s="312"/>
      <c r="L65" s="468">
        <v>1256.8599999999999</v>
      </c>
      <c r="M65" s="312"/>
      <c r="N65" s="468">
        <v>1256.8599999999999</v>
      </c>
      <c r="O65" s="312"/>
      <c r="P65" s="468">
        <v>1256.8599999999999</v>
      </c>
      <c r="Q65" s="312"/>
      <c r="R65" s="468">
        <v>1256.8599999999999</v>
      </c>
      <c r="S65" s="312"/>
      <c r="T65" s="468">
        <v>1256.8599999999999</v>
      </c>
      <c r="U65" s="312"/>
      <c r="V65" s="468">
        <v>910.36</v>
      </c>
      <c r="W65" s="312"/>
      <c r="X65" s="468">
        <v>910.36</v>
      </c>
      <c r="Y65" s="312"/>
      <c r="Z65" s="468">
        <v>910.36</v>
      </c>
      <c r="AA65" s="312"/>
      <c r="AB65" s="468">
        <v>910.36</v>
      </c>
      <c r="AC65" s="312"/>
      <c r="AD65" s="468">
        <v>910.36</v>
      </c>
      <c r="AE65" s="124"/>
      <c r="AF65" s="353"/>
    </row>
    <row r="66" spans="1:32" x14ac:dyDescent="0.25">
      <c r="A66" s="485"/>
      <c r="B66" s="485"/>
      <c r="C66" s="485"/>
      <c r="D66" s="485"/>
      <c r="E66" s="485"/>
      <c r="F66" s="485" t="s">
        <v>461</v>
      </c>
      <c r="G66" s="485"/>
      <c r="H66" s="468">
        <v>5626.29</v>
      </c>
      <c r="I66" s="312"/>
      <c r="J66" s="468">
        <v>5101.29</v>
      </c>
      <c r="K66" s="312"/>
      <c r="L66" s="468">
        <v>5101.29</v>
      </c>
      <c r="M66" s="312"/>
      <c r="N66" s="468">
        <v>5101.29</v>
      </c>
      <c r="O66" s="312"/>
      <c r="P66" s="468">
        <v>5201.29</v>
      </c>
      <c r="Q66" s="312"/>
      <c r="R66" s="468">
        <v>5201.29</v>
      </c>
      <c r="S66" s="312"/>
      <c r="T66" s="468">
        <v>5201.29</v>
      </c>
      <c r="U66" s="312"/>
      <c r="V66" s="468">
        <v>5526.29</v>
      </c>
      <c r="W66" s="312"/>
      <c r="X66" s="468">
        <v>5526.29</v>
      </c>
      <c r="Y66" s="312"/>
      <c r="Z66" s="468">
        <v>5776.29</v>
      </c>
      <c r="AA66" s="312"/>
      <c r="AB66" s="468">
        <v>5276.29</v>
      </c>
      <c r="AC66" s="312"/>
      <c r="AD66" s="468">
        <v>5276.29</v>
      </c>
      <c r="AE66" s="124"/>
      <c r="AF66" s="353"/>
    </row>
    <row r="67" spans="1:32" x14ac:dyDescent="0.25">
      <c r="A67" s="485"/>
      <c r="B67" s="485"/>
      <c r="C67" s="485"/>
      <c r="D67" s="485"/>
      <c r="E67" s="485"/>
      <c r="F67" s="485" t="s">
        <v>462</v>
      </c>
      <c r="G67" s="485"/>
      <c r="H67" s="468">
        <v>50</v>
      </c>
      <c r="I67" s="312"/>
      <c r="J67" s="468">
        <v>50</v>
      </c>
      <c r="K67" s="312"/>
      <c r="L67" s="468">
        <v>50</v>
      </c>
      <c r="M67" s="312"/>
      <c r="N67" s="468">
        <v>50</v>
      </c>
      <c r="O67" s="312"/>
      <c r="P67" s="468">
        <v>50</v>
      </c>
      <c r="Q67" s="312"/>
      <c r="R67" s="468">
        <v>50</v>
      </c>
      <c r="S67" s="312"/>
      <c r="T67" s="468">
        <v>50</v>
      </c>
      <c r="U67" s="312"/>
      <c r="V67" s="468">
        <v>50</v>
      </c>
      <c r="W67" s="312"/>
      <c r="X67" s="468">
        <v>50</v>
      </c>
      <c r="Y67" s="312"/>
      <c r="Z67" s="468">
        <v>50</v>
      </c>
      <c r="AA67" s="312"/>
      <c r="AB67" s="468">
        <v>50</v>
      </c>
      <c r="AC67" s="312"/>
      <c r="AD67" s="468">
        <v>50</v>
      </c>
      <c r="AE67" s="124"/>
      <c r="AF67" s="353"/>
    </row>
    <row r="68" spans="1:32" x14ac:dyDescent="0.25">
      <c r="A68" s="485"/>
      <c r="B68" s="485"/>
      <c r="C68" s="485"/>
      <c r="D68" s="485"/>
      <c r="E68" s="485"/>
      <c r="F68" s="485" t="s">
        <v>463</v>
      </c>
      <c r="G68" s="485"/>
      <c r="H68" s="468">
        <v>5146.8599999999997</v>
      </c>
      <c r="I68" s="312"/>
      <c r="J68" s="468">
        <v>5146.8599999999997</v>
      </c>
      <c r="K68" s="312"/>
      <c r="L68" s="468">
        <v>4986.8599999999997</v>
      </c>
      <c r="M68" s="312"/>
      <c r="N68" s="468">
        <v>2617.86</v>
      </c>
      <c r="O68" s="312"/>
      <c r="P68" s="468">
        <v>2617.86</v>
      </c>
      <c r="Q68" s="312"/>
      <c r="R68" s="468">
        <v>2617.86</v>
      </c>
      <c r="S68" s="312"/>
      <c r="T68" s="468">
        <v>2617.86</v>
      </c>
      <c r="U68" s="312"/>
      <c r="V68" s="468">
        <v>2617.86</v>
      </c>
      <c r="W68" s="312"/>
      <c r="X68" s="468">
        <v>2617.86</v>
      </c>
      <c r="Y68" s="312"/>
      <c r="Z68" s="468">
        <v>4867.8599999999997</v>
      </c>
      <c r="AA68" s="312"/>
      <c r="AB68" s="468">
        <v>5186.76</v>
      </c>
      <c r="AC68" s="312"/>
      <c r="AD68" s="468">
        <v>5186.76</v>
      </c>
      <c r="AE68" s="124"/>
      <c r="AF68" s="353"/>
    </row>
    <row r="69" spans="1:32" x14ac:dyDescent="0.25">
      <c r="A69" s="485"/>
      <c r="B69" s="485"/>
      <c r="C69" s="485"/>
      <c r="D69" s="485"/>
      <c r="E69" s="485"/>
      <c r="F69" s="485" t="s">
        <v>464</v>
      </c>
      <c r="G69" s="485"/>
      <c r="H69" s="468">
        <v>25</v>
      </c>
      <c r="I69" s="312"/>
      <c r="J69" s="468">
        <v>25</v>
      </c>
      <c r="K69" s="312"/>
      <c r="L69" s="468">
        <v>25</v>
      </c>
      <c r="M69" s="312"/>
      <c r="N69" s="468">
        <v>25</v>
      </c>
      <c r="O69" s="312"/>
      <c r="P69" s="468">
        <v>25</v>
      </c>
      <c r="Q69" s="312"/>
      <c r="R69" s="468">
        <v>25</v>
      </c>
      <c r="S69" s="312"/>
      <c r="T69" s="468">
        <v>25</v>
      </c>
      <c r="U69" s="312"/>
      <c r="V69" s="468">
        <v>25</v>
      </c>
      <c r="W69" s="312"/>
      <c r="X69" s="468">
        <v>25</v>
      </c>
      <c r="Y69" s="312"/>
      <c r="Z69" s="468">
        <v>25</v>
      </c>
      <c r="AA69" s="312"/>
      <c r="AB69" s="468">
        <v>25</v>
      </c>
      <c r="AC69" s="312"/>
      <c r="AD69" s="468">
        <v>25</v>
      </c>
      <c r="AE69" s="124"/>
      <c r="AF69" s="353"/>
    </row>
    <row r="70" spans="1:32" x14ac:dyDescent="0.25">
      <c r="A70" s="485"/>
      <c r="B70" s="485"/>
      <c r="C70" s="485"/>
      <c r="D70" s="485"/>
      <c r="E70" s="485"/>
      <c r="F70" s="485" t="s">
        <v>465</v>
      </c>
      <c r="G70" s="485"/>
      <c r="H70" s="468">
        <v>74.47</v>
      </c>
      <c r="I70" s="312"/>
      <c r="J70" s="468">
        <v>74.47</v>
      </c>
      <c r="K70" s="312"/>
      <c r="L70" s="468">
        <v>74.47</v>
      </c>
      <c r="M70" s="312"/>
      <c r="N70" s="468">
        <v>74.47</v>
      </c>
      <c r="O70" s="312"/>
      <c r="P70" s="468">
        <v>74.47</v>
      </c>
      <c r="Q70" s="312"/>
      <c r="R70" s="468">
        <v>74.47</v>
      </c>
      <c r="S70" s="312"/>
      <c r="T70" s="468">
        <v>74.47</v>
      </c>
      <c r="U70" s="312"/>
      <c r="V70" s="468">
        <v>74.47</v>
      </c>
      <c r="W70" s="312"/>
      <c r="X70" s="468">
        <v>74.47</v>
      </c>
      <c r="Y70" s="312"/>
      <c r="Z70" s="468">
        <v>74.47</v>
      </c>
      <c r="AA70" s="312"/>
      <c r="AB70" s="468">
        <v>74.47</v>
      </c>
      <c r="AC70" s="312"/>
      <c r="AD70" s="468">
        <v>74.47</v>
      </c>
      <c r="AE70" s="124"/>
      <c r="AF70" s="353"/>
    </row>
    <row r="71" spans="1:32" x14ac:dyDescent="0.25">
      <c r="A71" s="485"/>
      <c r="B71" s="485"/>
      <c r="C71" s="485"/>
      <c r="D71" s="485"/>
      <c r="E71" s="485"/>
      <c r="F71" s="485" t="s">
        <v>466</v>
      </c>
      <c r="G71" s="485"/>
      <c r="H71" s="468">
        <v>55.41</v>
      </c>
      <c r="I71" s="312"/>
      <c r="J71" s="468">
        <v>55.41</v>
      </c>
      <c r="K71" s="312"/>
      <c r="L71" s="468">
        <v>55.41</v>
      </c>
      <c r="M71" s="312"/>
      <c r="N71" s="468">
        <v>55.41</v>
      </c>
      <c r="O71" s="312"/>
      <c r="P71" s="468">
        <v>55.41</v>
      </c>
      <c r="Q71" s="312"/>
      <c r="R71" s="468">
        <v>55.41</v>
      </c>
      <c r="S71" s="312"/>
      <c r="T71" s="468">
        <v>55.41</v>
      </c>
      <c r="U71" s="312"/>
      <c r="V71" s="468">
        <v>55.41</v>
      </c>
      <c r="W71" s="312"/>
      <c r="X71" s="468">
        <v>55.41</v>
      </c>
      <c r="Y71" s="312"/>
      <c r="Z71" s="468">
        <v>55.41</v>
      </c>
      <c r="AA71" s="312"/>
      <c r="AB71" s="468">
        <v>55.41</v>
      </c>
      <c r="AC71" s="312"/>
      <c r="AD71" s="468">
        <v>55.41</v>
      </c>
      <c r="AE71" s="124"/>
      <c r="AF71" s="353"/>
    </row>
    <row r="72" spans="1:32" x14ac:dyDescent="0.25">
      <c r="A72" s="485"/>
      <c r="B72" s="485"/>
      <c r="C72" s="485"/>
      <c r="D72" s="485"/>
      <c r="E72" s="485"/>
      <c r="F72" s="485" t="s">
        <v>467</v>
      </c>
      <c r="G72" s="485"/>
      <c r="H72" s="468">
        <v>888.66</v>
      </c>
      <c r="I72" s="312"/>
      <c r="J72" s="468">
        <v>888.66</v>
      </c>
      <c r="K72" s="312"/>
      <c r="L72" s="468">
        <v>888.66</v>
      </c>
      <c r="M72" s="312"/>
      <c r="N72" s="468">
        <v>888.66</v>
      </c>
      <c r="O72" s="312"/>
      <c r="P72" s="468">
        <v>888.66</v>
      </c>
      <c r="Q72" s="312"/>
      <c r="R72" s="468">
        <v>888.66</v>
      </c>
      <c r="S72" s="312"/>
      <c r="T72" s="468">
        <v>888.66</v>
      </c>
      <c r="U72" s="312"/>
      <c r="V72" s="468">
        <v>888.66</v>
      </c>
      <c r="W72" s="312"/>
      <c r="X72" s="468">
        <v>888.66</v>
      </c>
      <c r="Y72" s="312"/>
      <c r="Z72" s="468">
        <v>888.66</v>
      </c>
      <c r="AA72" s="312"/>
      <c r="AB72" s="468">
        <v>888.66</v>
      </c>
      <c r="AC72" s="312"/>
      <c r="AD72" s="468">
        <v>888.66</v>
      </c>
      <c r="AE72" s="124"/>
      <c r="AF72" s="353"/>
    </row>
    <row r="73" spans="1:32" x14ac:dyDescent="0.25">
      <c r="A73" s="485"/>
      <c r="B73" s="485"/>
      <c r="C73" s="485"/>
      <c r="D73" s="485"/>
      <c r="E73" s="485"/>
      <c r="F73" s="485" t="s">
        <v>468</v>
      </c>
      <c r="G73" s="485"/>
      <c r="H73" s="468">
        <v>4367.17</v>
      </c>
      <c r="I73" s="312"/>
      <c r="J73" s="468">
        <v>4367.17</v>
      </c>
      <c r="K73" s="312"/>
      <c r="L73" s="468">
        <v>6298.17</v>
      </c>
      <c r="M73" s="312"/>
      <c r="N73" s="468">
        <v>6298.17</v>
      </c>
      <c r="O73" s="312"/>
      <c r="P73" s="468">
        <v>6298.17</v>
      </c>
      <c r="Q73" s="312"/>
      <c r="R73" s="468">
        <v>6298.17</v>
      </c>
      <c r="S73" s="312"/>
      <c r="T73" s="468">
        <v>6100.05</v>
      </c>
      <c r="U73" s="312"/>
      <c r="V73" s="468">
        <v>2892.27</v>
      </c>
      <c r="W73" s="312"/>
      <c r="X73" s="468">
        <v>2742.27</v>
      </c>
      <c r="Y73" s="312"/>
      <c r="Z73" s="468">
        <v>2742.27</v>
      </c>
      <c r="AA73" s="312"/>
      <c r="AB73" s="468">
        <v>3395.09</v>
      </c>
      <c r="AC73" s="312"/>
      <c r="AD73" s="468">
        <v>3395.09</v>
      </c>
      <c r="AE73" s="124"/>
      <c r="AF73" s="353"/>
    </row>
    <row r="74" spans="1:32" x14ac:dyDescent="0.25">
      <c r="A74" s="485"/>
      <c r="B74" s="485"/>
      <c r="C74" s="485"/>
      <c r="D74" s="485"/>
      <c r="E74" s="485"/>
      <c r="F74" s="485" t="s">
        <v>469</v>
      </c>
      <c r="G74" s="485"/>
      <c r="H74" s="468">
        <v>0</v>
      </c>
      <c r="I74" s="312"/>
      <c r="J74" s="468">
        <v>0</v>
      </c>
      <c r="K74" s="312"/>
      <c r="L74" s="468">
        <v>0</v>
      </c>
      <c r="M74" s="312"/>
      <c r="N74" s="468">
        <v>0</v>
      </c>
      <c r="O74" s="312"/>
      <c r="P74" s="468">
        <v>0</v>
      </c>
      <c r="Q74" s="312"/>
      <c r="R74" s="468">
        <v>250</v>
      </c>
      <c r="S74" s="312"/>
      <c r="T74" s="468">
        <v>250</v>
      </c>
      <c r="U74" s="312"/>
      <c r="V74" s="468">
        <v>250</v>
      </c>
      <c r="W74" s="312"/>
      <c r="X74" s="468">
        <v>185</v>
      </c>
      <c r="Y74" s="312"/>
      <c r="Z74" s="468">
        <v>185</v>
      </c>
      <c r="AA74" s="312"/>
      <c r="AB74" s="468">
        <v>185</v>
      </c>
      <c r="AC74" s="312"/>
      <c r="AD74" s="468">
        <v>185</v>
      </c>
      <c r="AE74" s="124"/>
      <c r="AF74" s="353"/>
    </row>
    <row r="75" spans="1:32" ht="15.75" thickBot="1" x14ac:dyDescent="0.3">
      <c r="A75" s="485"/>
      <c r="B75" s="485"/>
      <c r="C75" s="485"/>
      <c r="D75" s="485"/>
      <c r="E75" s="485"/>
      <c r="F75" s="485" t="s">
        <v>470</v>
      </c>
      <c r="G75" s="485"/>
      <c r="H75" s="313">
        <v>0</v>
      </c>
      <c r="I75" s="312"/>
      <c r="J75" s="313">
        <v>0</v>
      </c>
      <c r="K75" s="312"/>
      <c r="L75" s="313">
        <v>0</v>
      </c>
      <c r="M75" s="312"/>
      <c r="N75" s="313">
        <v>0</v>
      </c>
      <c r="O75" s="312"/>
      <c r="P75" s="313">
        <v>0</v>
      </c>
      <c r="Q75" s="312"/>
      <c r="R75" s="313">
        <v>0</v>
      </c>
      <c r="S75" s="312"/>
      <c r="T75" s="313">
        <v>0</v>
      </c>
      <c r="U75" s="312"/>
      <c r="V75" s="313">
        <v>50</v>
      </c>
      <c r="W75" s="312"/>
      <c r="X75" s="313">
        <v>50</v>
      </c>
      <c r="Y75" s="312"/>
      <c r="Z75" s="313">
        <v>50</v>
      </c>
      <c r="AA75" s="312"/>
      <c r="AB75" s="313">
        <v>50</v>
      </c>
      <c r="AC75" s="312"/>
      <c r="AD75" s="313">
        <v>50</v>
      </c>
      <c r="AE75" s="124"/>
      <c r="AF75" s="353"/>
    </row>
    <row r="76" spans="1:32" x14ac:dyDescent="0.25">
      <c r="A76" s="485"/>
      <c r="B76" s="485"/>
      <c r="C76" s="485"/>
      <c r="D76" s="485"/>
      <c r="E76" s="485" t="s">
        <v>471</v>
      </c>
      <c r="F76" s="485"/>
      <c r="G76" s="485"/>
      <c r="H76" s="468">
        <f>ROUND(SUM(H38:H54)+SUM(H58:H75),5)</f>
        <v>91922.4</v>
      </c>
      <c r="I76" s="312"/>
      <c r="J76" s="468">
        <f>ROUND(SUM(J38:J54)+SUM(J58:J75),5)</f>
        <v>96037.65</v>
      </c>
      <c r="K76" s="312"/>
      <c r="L76" s="468">
        <f>ROUND(SUM(L38:L54)+SUM(L58:L75),5)</f>
        <v>113021.77</v>
      </c>
      <c r="M76" s="312"/>
      <c r="N76" s="468">
        <f>ROUND(SUM(N38:N54)+SUM(N58:N75),5)</f>
        <v>92940.75</v>
      </c>
      <c r="O76" s="312"/>
      <c r="P76" s="468">
        <f>ROUND(SUM(P38:P54)+SUM(P58:P75),5)</f>
        <v>97647.25</v>
      </c>
      <c r="Q76" s="312"/>
      <c r="R76" s="468">
        <f>ROUND(SUM(R38:R54)+SUM(R58:R75),5)</f>
        <v>99415.62</v>
      </c>
      <c r="S76" s="312"/>
      <c r="T76" s="468">
        <f>ROUND(SUM(T38:T54)+SUM(T58:T75),5)</f>
        <v>102736.09</v>
      </c>
      <c r="U76" s="312"/>
      <c r="V76" s="468">
        <f>ROUND(SUM(V38:V54)+SUM(V58:V75),5)</f>
        <v>104354.26</v>
      </c>
      <c r="W76" s="312"/>
      <c r="X76" s="468">
        <f>ROUND(SUM(X38:X54)+SUM(X58:X75),5)</f>
        <v>114764.26</v>
      </c>
      <c r="Y76" s="312"/>
      <c r="Z76" s="468">
        <f>ROUND(SUM(Z38:Z54)+SUM(Z58:Z75),5)</f>
        <v>121644.26</v>
      </c>
      <c r="AA76" s="312"/>
      <c r="AB76" s="468">
        <f>ROUND(SUM(AB38:AB54)+SUM(AB58:AB75),5)</f>
        <v>121813.48</v>
      </c>
      <c r="AC76" s="312"/>
      <c r="AD76" s="468">
        <f>ROUND(SUM(AD38:AD54)+SUM(AD58:AD75),5)</f>
        <v>126224.73</v>
      </c>
      <c r="AE76" s="124"/>
      <c r="AF76" s="353"/>
    </row>
    <row r="77" spans="1:32" x14ac:dyDescent="0.25">
      <c r="A77" s="485"/>
      <c r="B77" s="485"/>
      <c r="C77" s="485"/>
      <c r="D77" s="485"/>
      <c r="E77" s="485" t="s">
        <v>472</v>
      </c>
      <c r="F77" s="485"/>
      <c r="G77" s="485"/>
      <c r="H77" s="468">
        <v>0</v>
      </c>
      <c r="I77" s="312"/>
      <c r="J77" s="468">
        <v>0</v>
      </c>
      <c r="K77" s="312"/>
      <c r="L77" s="468">
        <v>93.33</v>
      </c>
      <c r="M77" s="312"/>
      <c r="N77" s="468">
        <v>217.59</v>
      </c>
      <c r="O77" s="312"/>
      <c r="P77" s="468">
        <v>59.89</v>
      </c>
      <c r="Q77" s="312"/>
      <c r="R77" s="468">
        <v>59.89</v>
      </c>
      <c r="S77" s="312"/>
      <c r="T77" s="468">
        <v>11.61</v>
      </c>
      <c r="U77" s="312"/>
      <c r="V77" s="468">
        <v>20.91</v>
      </c>
      <c r="W77" s="312"/>
      <c r="X77" s="468">
        <v>20.91</v>
      </c>
      <c r="Y77" s="312"/>
      <c r="Z77" s="468">
        <v>20.91</v>
      </c>
      <c r="AA77" s="312"/>
      <c r="AB77" s="468">
        <v>20.91</v>
      </c>
      <c r="AC77" s="312"/>
      <c r="AD77" s="468">
        <v>20.91</v>
      </c>
      <c r="AE77" s="124"/>
      <c r="AF77" s="353"/>
    </row>
    <row r="78" spans="1:32" x14ac:dyDescent="0.25">
      <c r="A78" s="485"/>
      <c r="B78" s="485"/>
      <c r="C78" s="485"/>
      <c r="D78" s="485"/>
      <c r="E78" s="485" t="s">
        <v>473</v>
      </c>
      <c r="F78" s="485"/>
      <c r="G78" s="485"/>
      <c r="H78" s="468">
        <v>10820.18</v>
      </c>
      <c r="I78" s="312"/>
      <c r="J78" s="468">
        <v>9373.7999999999993</v>
      </c>
      <c r="K78" s="312"/>
      <c r="L78" s="468">
        <v>10402.1</v>
      </c>
      <c r="M78" s="312"/>
      <c r="N78" s="468">
        <v>11337.88</v>
      </c>
      <c r="O78" s="312"/>
      <c r="P78" s="468">
        <v>11164.05</v>
      </c>
      <c r="Q78" s="312"/>
      <c r="R78" s="468">
        <v>11634.52</v>
      </c>
      <c r="S78" s="312"/>
      <c r="T78" s="468">
        <v>12900.75</v>
      </c>
      <c r="U78" s="312"/>
      <c r="V78" s="468">
        <v>10644.73</v>
      </c>
      <c r="W78" s="312"/>
      <c r="X78" s="468">
        <v>10440.959999999999</v>
      </c>
      <c r="Y78" s="312"/>
      <c r="Z78" s="468">
        <v>10721.18</v>
      </c>
      <c r="AA78" s="312"/>
      <c r="AB78" s="468">
        <v>15768.93</v>
      </c>
      <c r="AC78" s="312"/>
      <c r="AD78" s="468">
        <v>13739.04</v>
      </c>
      <c r="AE78" s="124"/>
      <c r="AF78" s="353"/>
    </row>
    <row r="79" spans="1:32" x14ac:dyDescent="0.25">
      <c r="A79" s="485"/>
      <c r="B79" s="485"/>
      <c r="C79" s="485"/>
      <c r="D79" s="485"/>
      <c r="E79" s="485" t="s">
        <v>500</v>
      </c>
      <c r="F79" s="485"/>
      <c r="G79" s="485"/>
      <c r="H79" s="468">
        <v>0</v>
      </c>
      <c r="I79" s="312"/>
      <c r="J79" s="468">
        <v>0</v>
      </c>
      <c r="K79" s="312"/>
      <c r="L79" s="468">
        <v>0</v>
      </c>
      <c r="M79" s="312"/>
      <c r="N79" s="468">
        <v>0</v>
      </c>
      <c r="O79" s="312"/>
      <c r="P79" s="468">
        <v>0</v>
      </c>
      <c r="Q79" s="312"/>
      <c r="R79" s="468">
        <v>0</v>
      </c>
      <c r="S79" s="312"/>
      <c r="T79" s="468">
        <v>0</v>
      </c>
      <c r="U79" s="312"/>
      <c r="V79" s="468">
        <v>0</v>
      </c>
      <c r="W79" s="312"/>
      <c r="X79" s="468">
        <v>0</v>
      </c>
      <c r="Y79" s="312"/>
      <c r="Z79" s="468">
        <v>0</v>
      </c>
      <c r="AA79" s="312"/>
      <c r="AB79" s="468">
        <v>11.86</v>
      </c>
      <c r="AC79" s="312"/>
      <c r="AD79" s="468">
        <v>56.35</v>
      </c>
      <c r="AE79" s="124"/>
      <c r="AF79" s="353"/>
    </row>
    <row r="80" spans="1:32" x14ac:dyDescent="0.25">
      <c r="A80" s="485"/>
      <c r="B80" s="485"/>
      <c r="C80" s="485"/>
      <c r="D80" s="485"/>
      <c r="E80" s="485" t="s">
        <v>501</v>
      </c>
      <c r="F80" s="485"/>
      <c r="G80" s="485"/>
      <c r="H80" s="468">
        <v>0</v>
      </c>
      <c r="I80" s="312"/>
      <c r="J80" s="468">
        <v>0</v>
      </c>
      <c r="K80" s="312"/>
      <c r="L80" s="468">
        <v>0</v>
      </c>
      <c r="M80" s="312"/>
      <c r="N80" s="468">
        <v>0</v>
      </c>
      <c r="O80" s="312"/>
      <c r="P80" s="468">
        <v>0</v>
      </c>
      <c r="Q80" s="312"/>
      <c r="R80" s="468">
        <v>0</v>
      </c>
      <c r="S80" s="312"/>
      <c r="T80" s="468">
        <v>0</v>
      </c>
      <c r="U80" s="312"/>
      <c r="V80" s="468">
        <v>0</v>
      </c>
      <c r="W80" s="312"/>
      <c r="X80" s="468">
        <v>0</v>
      </c>
      <c r="Y80" s="312"/>
      <c r="Z80" s="468">
        <v>0</v>
      </c>
      <c r="AA80" s="312"/>
      <c r="AB80" s="468">
        <v>53392</v>
      </c>
      <c r="AC80" s="312"/>
      <c r="AD80" s="468">
        <v>53392</v>
      </c>
      <c r="AE80" s="124"/>
      <c r="AF80" s="462"/>
    </row>
    <row r="81" spans="1:31" ht="15.75" thickBot="1" x14ac:dyDescent="0.3">
      <c r="A81" s="485"/>
      <c r="B81" s="485"/>
      <c r="C81" s="485"/>
      <c r="D81" s="485"/>
      <c r="E81" s="485" t="s">
        <v>474</v>
      </c>
      <c r="F81" s="485"/>
      <c r="G81" s="485"/>
      <c r="H81" s="467">
        <v>0</v>
      </c>
      <c r="I81" s="312"/>
      <c r="J81" s="467">
        <v>0</v>
      </c>
      <c r="K81" s="312"/>
      <c r="L81" s="467">
        <v>0</v>
      </c>
      <c r="M81" s="312"/>
      <c r="N81" s="467">
        <v>0</v>
      </c>
      <c r="O81" s="312"/>
      <c r="P81" s="467">
        <v>0</v>
      </c>
      <c r="Q81" s="312"/>
      <c r="R81" s="467">
        <v>0</v>
      </c>
      <c r="S81" s="312"/>
      <c r="T81" s="467">
        <v>0</v>
      </c>
      <c r="U81" s="312"/>
      <c r="V81" s="467">
        <v>-2467.5500000000002</v>
      </c>
      <c r="W81" s="312"/>
      <c r="X81" s="467">
        <v>0</v>
      </c>
      <c r="Y81" s="312"/>
      <c r="Z81" s="467">
        <v>0</v>
      </c>
      <c r="AA81" s="312"/>
      <c r="AB81" s="467">
        <v>0</v>
      </c>
      <c r="AC81" s="312"/>
      <c r="AD81" s="467">
        <v>0</v>
      </c>
      <c r="AE81" s="462"/>
    </row>
    <row r="82" spans="1:31" ht="15.75" thickBot="1" x14ac:dyDescent="0.3">
      <c r="A82" s="485"/>
      <c r="B82" s="485"/>
      <c r="C82" s="485"/>
      <c r="D82" s="485" t="s">
        <v>307</v>
      </c>
      <c r="E82" s="485"/>
      <c r="F82" s="485"/>
      <c r="G82" s="485"/>
      <c r="H82" s="315">
        <f>ROUND(H33+H37+SUM(H76:H81),5)</f>
        <v>132978.85</v>
      </c>
      <c r="I82" s="312"/>
      <c r="J82" s="315">
        <f>ROUND(J33+J37+SUM(J76:J81),5)</f>
        <v>165260.45000000001</v>
      </c>
      <c r="K82" s="312"/>
      <c r="L82" s="315">
        <f>ROUND(L33+L37+SUM(L76:L81),5)</f>
        <v>212110.77</v>
      </c>
      <c r="M82" s="312"/>
      <c r="N82" s="315">
        <f>ROUND(N33+N37+SUM(N76:N81),5)</f>
        <v>227762.78</v>
      </c>
      <c r="O82" s="312"/>
      <c r="P82" s="315">
        <f>ROUND(P33+P37+SUM(P76:P81),5)</f>
        <v>162911.31</v>
      </c>
      <c r="Q82" s="312"/>
      <c r="R82" s="315">
        <f>ROUND(R33+R37+SUM(R76:R81),5)</f>
        <v>191766.26</v>
      </c>
      <c r="S82" s="312"/>
      <c r="T82" s="315">
        <f>ROUND(T33+T37+SUM(T76:T81),5)</f>
        <v>215007.95</v>
      </c>
      <c r="U82" s="312"/>
      <c r="V82" s="315">
        <f>ROUND(V33+V37+SUM(V76:V81),5)</f>
        <v>229388.55</v>
      </c>
      <c r="W82" s="312"/>
      <c r="X82" s="315">
        <f>ROUND(X33+X37+SUM(X76:X81),5)</f>
        <v>270287.69</v>
      </c>
      <c r="Y82" s="312"/>
      <c r="Z82" s="315">
        <f>ROUND(Z33+Z37+SUM(Z76:Z81),5)</f>
        <v>222304.72</v>
      </c>
      <c r="AA82" s="312"/>
      <c r="AB82" s="315">
        <f>ROUND(AB33+AB37+SUM(AB76:AB81),5)</f>
        <v>304742.31</v>
      </c>
      <c r="AC82" s="312"/>
      <c r="AD82" s="315">
        <f>ROUND(AD33+AD37+SUM(AD76:AD81),5)</f>
        <v>268123.71999999997</v>
      </c>
      <c r="AE82" s="462"/>
    </row>
    <row r="83" spans="1:31" ht="15.75" thickBot="1" x14ac:dyDescent="0.3">
      <c r="A83" s="485"/>
      <c r="B83" s="485"/>
      <c r="C83" s="485" t="s">
        <v>308</v>
      </c>
      <c r="D83" s="485"/>
      <c r="E83" s="485"/>
      <c r="F83" s="485"/>
      <c r="G83" s="485"/>
      <c r="H83" s="314">
        <f>ROUND(H29+H32+H82,5)</f>
        <v>136148.85</v>
      </c>
      <c r="I83" s="312"/>
      <c r="J83" s="314">
        <f>ROUND(J29+J32+J82,5)</f>
        <v>167959.45</v>
      </c>
      <c r="K83" s="312"/>
      <c r="L83" s="314">
        <f>ROUND(L29+L32+L82,5)</f>
        <v>216886.87</v>
      </c>
      <c r="M83" s="312"/>
      <c r="N83" s="314">
        <f>ROUND(N29+N32+N82,5)</f>
        <v>247099.8</v>
      </c>
      <c r="O83" s="312"/>
      <c r="P83" s="314">
        <f>ROUND(P29+P32+P82,5)</f>
        <v>181986.33</v>
      </c>
      <c r="Q83" s="312"/>
      <c r="R83" s="314">
        <f>ROUND(R29+R32+R82,5)</f>
        <v>201087.81</v>
      </c>
      <c r="S83" s="312"/>
      <c r="T83" s="314">
        <f>ROUND(T29+T32+T82,5)</f>
        <v>234081.13</v>
      </c>
      <c r="U83" s="312"/>
      <c r="V83" s="314">
        <f>ROUND(V29+V32+V82,5)</f>
        <v>229474.58</v>
      </c>
      <c r="W83" s="312"/>
      <c r="X83" s="314">
        <f>ROUND(X29+X32+X82,5)</f>
        <v>272355.69</v>
      </c>
      <c r="Y83" s="312"/>
      <c r="Z83" s="314">
        <f>ROUND(Z29+Z32+Z82,5)</f>
        <v>228564.42</v>
      </c>
      <c r="AA83" s="312"/>
      <c r="AB83" s="314">
        <f>ROUND(AB29+AB32+AB82,5)</f>
        <v>307323.01</v>
      </c>
      <c r="AC83" s="312"/>
      <c r="AD83" s="314">
        <f>ROUND(AD29+AD32+AD82,5)</f>
        <v>268428.71999999997</v>
      </c>
      <c r="AE83" s="462"/>
    </row>
    <row r="84" spans="1:31" x14ac:dyDescent="0.25">
      <c r="A84" s="485"/>
      <c r="B84" s="485" t="s">
        <v>312</v>
      </c>
      <c r="C84" s="485"/>
      <c r="D84" s="485"/>
      <c r="E84" s="485"/>
      <c r="F84" s="485"/>
      <c r="G84" s="485"/>
      <c r="H84" s="468">
        <f>ROUND(H28+H83,5)</f>
        <v>136148.85</v>
      </c>
      <c r="I84" s="312"/>
      <c r="J84" s="468">
        <f>ROUND(J28+J83,5)</f>
        <v>167959.45</v>
      </c>
      <c r="K84" s="312"/>
      <c r="L84" s="468">
        <f>ROUND(L28+L83,5)</f>
        <v>216886.87</v>
      </c>
      <c r="M84" s="312"/>
      <c r="N84" s="468">
        <f>ROUND(N28+N83,5)</f>
        <v>247099.8</v>
      </c>
      <c r="O84" s="312"/>
      <c r="P84" s="468">
        <f>ROUND(P28+P83,5)</f>
        <v>181986.33</v>
      </c>
      <c r="Q84" s="312"/>
      <c r="R84" s="468">
        <f>ROUND(R28+R83,5)</f>
        <v>201087.81</v>
      </c>
      <c r="S84" s="312"/>
      <c r="T84" s="468">
        <f>ROUND(T28+T83,5)</f>
        <v>234081.13</v>
      </c>
      <c r="U84" s="312"/>
      <c r="V84" s="468">
        <f>ROUND(V28+V83,5)</f>
        <v>229474.58</v>
      </c>
      <c r="W84" s="312"/>
      <c r="X84" s="468">
        <f>ROUND(X28+X83,5)</f>
        <v>272355.69</v>
      </c>
      <c r="Y84" s="312"/>
      <c r="Z84" s="468">
        <f>ROUND(Z28+Z83,5)</f>
        <v>228564.42</v>
      </c>
      <c r="AA84" s="312"/>
      <c r="AB84" s="468">
        <f>ROUND(AB28+AB83,5)</f>
        <v>307323.01</v>
      </c>
      <c r="AC84" s="312"/>
      <c r="AD84" s="468">
        <f>ROUND(AD28+AD83,5)</f>
        <v>268428.71999999997</v>
      </c>
      <c r="AE84" s="462"/>
    </row>
    <row r="85" spans="1:31" x14ac:dyDescent="0.25">
      <c r="A85" s="485"/>
      <c r="B85" s="485" t="s">
        <v>313</v>
      </c>
      <c r="C85" s="485"/>
      <c r="D85" s="485"/>
      <c r="E85" s="485"/>
      <c r="F85" s="485"/>
      <c r="G85" s="485"/>
      <c r="H85" s="468"/>
      <c r="I85" s="312"/>
      <c r="J85" s="468"/>
      <c r="K85" s="312"/>
      <c r="L85" s="468"/>
      <c r="M85" s="312"/>
      <c r="N85" s="468"/>
      <c r="O85" s="312"/>
      <c r="P85" s="468"/>
      <c r="Q85" s="312"/>
      <c r="R85" s="468"/>
      <c r="S85" s="312"/>
      <c r="T85" s="468"/>
      <c r="U85" s="312"/>
      <c r="V85" s="468"/>
      <c r="W85" s="312"/>
      <c r="X85" s="468"/>
      <c r="Y85" s="312"/>
      <c r="Z85" s="468"/>
      <c r="AA85" s="312"/>
      <c r="AB85" s="468"/>
      <c r="AC85" s="312"/>
      <c r="AD85" s="468"/>
      <c r="AE85" s="462"/>
    </row>
    <row r="86" spans="1:31" x14ac:dyDescent="0.25">
      <c r="A86" s="485"/>
      <c r="B86" s="485"/>
      <c r="C86" s="485" t="s">
        <v>314</v>
      </c>
      <c r="D86" s="485"/>
      <c r="E86" s="485"/>
      <c r="F86" s="485"/>
      <c r="G86" s="485"/>
      <c r="H86" s="468">
        <v>149598.82</v>
      </c>
      <c r="I86" s="312"/>
      <c r="J86" s="468">
        <v>9952.74</v>
      </c>
      <c r="K86" s="312"/>
      <c r="L86" s="468">
        <v>23942.880000000001</v>
      </c>
      <c r="M86" s="312"/>
      <c r="N86" s="468">
        <v>53931.35</v>
      </c>
      <c r="O86" s="312"/>
      <c r="P86" s="468">
        <v>66695.149999999994</v>
      </c>
      <c r="Q86" s="312"/>
      <c r="R86" s="468">
        <v>74593.58</v>
      </c>
      <c r="S86" s="312"/>
      <c r="T86" s="468">
        <v>87457.97</v>
      </c>
      <c r="U86" s="312"/>
      <c r="V86" s="468">
        <v>26251.58</v>
      </c>
      <c r="W86" s="312"/>
      <c r="X86" s="468">
        <v>10059.86</v>
      </c>
      <c r="Y86" s="312"/>
      <c r="Z86" s="468">
        <v>13043.44</v>
      </c>
      <c r="AA86" s="312"/>
      <c r="AB86" s="468">
        <v>10732.63</v>
      </c>
      <c r="AC86" s="312"/>
      <c r="AD86" s="468">
        <v>1754.2</v>
      </c>
      <c r="AE86" s="340"/>
    </row>
    <row r="87" spans="1:31" x14ac:dyDescent="0.25">
      <c r="A87" s="485"/>
      <c r="B87" s="485"/>
      <c r="C87" s="485" t="s">
        <v>475</v>
      </c>
      <c r="D87" s="485"/>
      <c r="E87" s="485"/>
      <c r="F87" s="485"/>
      <c r="G87" s="485"/>
      <c r="H87" s="468"/>
      <c r="I87" s="312"/>
      <c r="J87" s="468"/>
      <c r="K87" s="312"/>
      <c r="L87" s="468"/>
      <c r="M87" s="312"/>
      <c r="N87" s="468"/>
      <c r="O87" s="312"/>
      <c r="P87" s="468"/>
      <c r="Q87" s="312"/>
      <c r="R87" s="468"/>
      <c r="S87" s="312"/>
      <c r="T87" s="468"/>
      <c r="U87" s="312"/>
      <c r="V87" s="468"/>
      <c r="W87" s="312"/>
      <c r="X87" s="468"/>
      <c r="Y87" s="312"/>
      <c r="Z87" s="468"/>
      <c r="AA87" s="312"/>
      <c r="AB87" s="468"/>
      <c r="AC87" s="312"/>
      <c r="AD87" s="468"/>
      <c r="AE87" s="462"/>
    </row>
    <row r="88" spans="1:31" x14ac:dyDescent="0.25">
      <c r="A88" s="485"/>
      <c r="B88" s="485"/>
      <c r="C88" s="485"/>
      <c r="D88" s="485" t="s">
        <v>476</v>
      </c>
      <c r="E88" s="485"/>
      <c r="F88" s="485"/>
      <c r="G88" s="485"/>
      <c r="H88" s="468">
        <v>39047.230000000003</v>
      </c>
      <c r="I88" s="312"/>
      <c r="J88" s="468">
        <v>39047.230000000003</v>
      </c>
      <c r="K88" s="312"/>
      <c r="L88" s="468">
        <v>39047.230000000003</v>
      </c>
      <c r="M88" s="312"/>
      <c r="N88" s="468">
        <v>39047.230000000003</v>
      </c>
      <c r="O88" s="312"/>
      <c r="P88" s="468">
        <v>39047.230000000003</v>
      </c>
      <c r="Q88" s="312"/>
      <c r="R88" s="468">
        <v>39047.230000000003</v>
      </c>
      <c r="S88" s="312"/>
      <c r="T88" s="468">
        <v>39047.230000000003</v>
      </c>
      <c r="U88" s="312"/>
      <c r="V88" s="468">
        <v>39047.230000000003</v>
      </c>
      <c r="W88" s="312"/>
      <c r="X88" s="468">
        <v>39047.230000000003</v>
      </c>
      <c r="Y88" s="312"/>
      <c r="Z88" s="468">
        <v>39047.230000000003</v>
      </c>
      <c r="AA88" s="312"/>
      <c r="AB88" s="468">
        <v>39047.230000000003</v>
      </c>
      <c r="AC88" s="312"/>
      <c r="AD88" s="468">
        <v>39047.230000000003</v>
      </c>
      <c r="AE88" s="462"/>
    </row>
    <row r="89" spans="1:31" ht="15.75" thickBot="1" x14ac:dyDescent="0.3">
      <c r="A89" s="485"/>
      <c r="B89" s="485"/>
      <c r="C89" s="485"/>
      <c r="D89" s="485" t="s">
        <v>477</v>
      </c>
      <c r="E89" s="485"/>
      <c r="F89" s="485"/>
      <c r="G89" s="485"/>
      <c r="H89" s="313">
        <v>8221.7999999999993</v>
      </c>
      <c r="I89" s="312"/>
      <c r="J89" s="313">
        <v>8221.7999999999993</v>
      </c>
      <c r="K89" s="312"/>
      <c r="L89" s="313">
        <v>8221.7999999999993</v>
      </c>
      <c r="M89" s="312"/>
      <c r="N89" s="313">
        <v>8221.7999999999993</v>
      </c>
      <c r="O89" s="312"/>
      <c r="P89" s="313">
        <v>8221.7999999999993</v>
      </c>
      <c r="Q89" s="312"/>
      <c r="R89" s="313">
        <v>8221.7999999999993</v>
      </c>
      <c r="S89" s="312"/>
      <c r="T89" s="313">
        <v>8221.7999999999993</v>
      </c>
      <c r="U89" s="312"/>
      <c r="V89" s="313">
        <v>8221.7999999999993</v>
      </c>
      <c r="W89" s="312"/>
      <c r="X89" s="313">
        <v>8221.7999999999993</v>
      </c>
      <c r="Y89" s="312"/>
      <c r="Z89" s="313">
        <v>8221.7999999999993</v>
      </c>
      <c r="AA89" s="312"/>
      <c r="AB89" s="313">
        <v>8221.7999999999993</v>
      </c>
      <c r="AC89" s="312"/>
      <c r="AD89" s="313">
        <v>8221.7999999999993</v>
      </c>
      <c r="AE89" s="462"/>
    </row>
    <row r="90" spans="1:31" x14ac:dyDescent="0.25">
      <c r="A90" s="485"/>
      <c r="B90" s="485"/>
      <c r="C90" s="485" t="s">
        <v>478</v>
      </c>
      <c r="D90" s="485"/>
      <c r="E90" s="485"/>
      <c r="F90" s="485"/>
      <c r="G90" s="485"/>
      <c r="H90" s="468">
        <f>ROUND(SUM(H87:H89),5)</f>
        <v>47269.03</v>
      </c>
      <c r="I90" s="312"/>
      <c r="J90" s="468">
        <f>ROUND(SUM(J87:J89),5)</f>
        <v>47269.03</v>
      </c>
      <c r="K90" s="312"/>
      <c r="L90" s="468">
        <f>ROUND(SUM(L87:L89),5)</f>
        <v>47269.03</v>
      </c>
      <c r="M90" s="312"/>
      <c r="N90" s="468">
        <f>ROUND(SUM(N87:N89),5)</f>
        <v>47269.03</v>
      </c>
      <c r="O90" s="312"/>
      <c r="P90" s="468">
        <f>ROUND(SUM(P87:P89),5)</f>
        <v>47269.03</v>
      </c>
      <c r="Q90" s="312"/>
      <c r="R90" s="468">
        <f>ROUND(SUM(R87:R89),5)</f>
        <v>47269.03</v>
      </c>
      <c r="S90" s="312"/>
      <c r="T90" s="468">
        <f>ROUND(SUM(T87:T89),5)</f>
        <v>47269.03</v>
      </c>
      <c r="U90" s="312"/>
      <c r="V90" s="468">
        <f>ROUND(SUM(V87:V89),5)</f>
        <v>47269.03</v>
      </c>
      <c r="W90" s="312"/>
      <c r="X90" s="468">
        <f>ROUND(SUM(X87:X89),5)</f>
        <v>47269.03</v>
      </c>
      <c r="Y90" s="312"/>
      <c r="Z90" s="468">
        <f>ROUND(SUM(Z87:Z89),5)</f>
        <v>47269.03</v>
      </c>
      <c r="AA90" s="312"/>
      <c r="AB90" s="468">
        <f>ROUND(SUM(AB87:AB89),5)</f>
        <v>47269.03</v>
      </c>
      <c r="AC90" s="312"/>
      <c r="AD90" s="468">
        <f>ROUND(SUM(AD87:AD89),5)</f>
        <v>47269.03</v>
      </c>
      <c r="AE90" s="462"/>
    </row>
    <row r="91" spans="1:31" x14ac:dyDescent="0.25">
      <c r="A91" s="485"/>
      <c r="B91" s="485"/>
      <c r="C91" s="485" t="s">
        <v>479</v>
      </c>
      <c r="D91" s="485"/>
      <c r="E91" s="485"/>
      <c r="F91" s="485"/>
      <c r="G91" s="485"/>
      <c r="H91" s="468"/>
      <c r="I91" s="312"/>
      <c r="J91" s="468"/>
      <c r="K91" s="312"/>
      <c r="L91" s="468"/>
      <c r="M91" s="312"/>
      <c r="N91" s="468"/>
      <c r="O91" s="312"/>
      <c r="P91" s="468"/>
      <c r="Q91" s="312"/>
      <c r="R91" s="468"/>
      <c r="S91" s="312"/>
      <c r="T91" s="468"/>
      <c r="U91" s="312"/>
      <c r="V91" s="468"/>
      <c r="W91" s="312"/>
      <c r="X91" s="468"/>
      <c r="Y91" s="312"/>
      <c r="Z91" s="468"/>
      <c r="AA91" s="312"/>
      <c r="AB91" s="468"/>
      <c r="AC91" s="312"/>
      <c r="AD91" s="468"/>
      <c r="AE91" s="462"/>
    </row>
    <row r="92" spans="1:31" x14ac:dyDescent="0.25">
      <c r="A92" s="485"/>
      <c r="B92" s="485"/>
      <c r="C92" s="485"/>
      <c r="D92" s="485" t="s">
        <v>480</v>
      </c>
      <c r="E92" s="485"/>
      <c r="F92" s="485"/>
      <c r="G92" s="485"/>
      <c r="H92" s="468">
        <v>104705.99</v>
      </c>
      <c r="I92" s="312"/>
      <c r="J92" s="468">
        <v>98535.17</v>
      </c>
      <c r="K92" s="312"/>
      <c r="L92" s="468">
        <v>90105.919999999998</v>
      </c>
      <c r="M92" s="312"/>
      <c r="N92" s="468">
        <v>80217.5</v>
      </c>
      <c r="O92" s="312"/>
      <c r="P92" s="468">
        <v>72952.460000000006</v>
      </c>
      <c r="Q92" s="312"/>
      <c r="R92" s="468">
        <v>67694.740000000005</v>
      </c>
      <c r="S92" s="312"/>
      <c r="T92" s="468">
        <v>56584.81</v>
      </c>
      <c r="U92" s="312"/>
      <c r="V92" s="468">
        <v>50774.17</v>
      </c>
      <c r="W92" s="312"/>
      <c r="X92" s="468">
        <v>76165.08</v>
      </c>
      <c r="Y92" s="312"/>
      <c r="Z92" s="468">
        <v>75917.39</v>
      </c>
      <c r="AA92" s="312"/>
      <c r="AB92" s="468">
        <v>82128.95</v>
      </c>
      <c r="AC92" s="312"/>
      <c r="AD92" s="468">
        <v>91290.99</v>
      </c>
      <c r="AE92" s="462"/>
    </row>
    <row r="93" spans="1:31" x14ac:dyDescent="0.25">
      <c r="A93" s="485"/>
      <c r="B93" s="485"/>
      <c r="C93" s="485"/>
      <c r="D93" s="485" t="s">
        <v>481</v>
      </c>
      <c r="E93" s="485"/>
      <c r="F93" s="485"/>
      <c r="G93" s="485"/>
      <c r="H93" s="468">
        <v>0</v>
      </c>
      <c r="I93" s="312"/>
      <c r="J93" s="468">
        <v>0</v>
      </c>
      <c r="K93" s="312"/>
      <c r="L93" s="468">
        <v>0</v>
      </c>
      <c r="M93" s="312"/>
      <c r="N93" s="468">
        <v>0</v>
      </c>
      <c r="O93" s="312"/>
      <c r="P93" s="468">
        <v>0</v>
      </c>
      <c r="Q93" s="312"/>
      <c r="R93" s="468">
        <v>0</v>
      </c>
      <c r="S93" s="312"/>
      <c r="T93" s="468">
        <v>0</v>
      </c>
      <c r="U93" s="312"/>
      <c r="V93" s="468">
        <v>0</v>
      </c>
      <c r="W93" s="312"/>
      <c r="X93" s="468">
        <v>0</v>
      </c>
      <c r="Y93" s="312"/>
      <c r="Z93" s="468">
        <v>11430</v>
      </c>
      <c r="AA93" s="312"/>
      <c r="AB93" s="468">
        <v>0</v>
      </c>
      <c r="AC93" s="312"/>
      <c r="AD93" s="468">
        <v>0</v>
      </c>
      <c r="AE93" s="124"/>
    </row>
    <row r="94" spans="1:31" x14ac:dyDescent="0.25">
      <c r="A94" s="485"/>
      <c r="B94" s="485"/>
      <c r="C94" s="485"/>
      <c r="D94" s="485" t="s">
        <v>482</v>
      </c>
      <c r="E94" s="485"/>
      <c r="F94" s="485"/>
      <c r="G94" s="485"/>
      <c r="H94" s="468">
        <v>70454.559999999998</v>
      </c>
      <c r="I94" s="312"/>
      <c r="J94" s="468">
        <v>66672.639999999999</v>
      </c>
      <c r="K94" s="312"/>
      <c r="L94" s="468">
        <v>61111.75</v>
      </c>
      <c r="M94" s="312"/>
      <c r="N94" s="468">
        <v>56011.7</v>
      </c>
      <c r="O94" s="312"/>
      <c r="P94" s="468">
        <v>50512.94</v>
      </c>
      <c r="Q94" s="312"/>
      <c r="R94" s="468">
        <v>44872.23</v>
      </c>
      <c r="S94" s="312"/>
      <c r="T94" s="468">
        <v>43117.77</v>
      </c>
      <c r="U94" s="312"/>
      <c r="V94" s="468">
        <v>110134.8</v>
      </c>
      <c r="W94" s="312"/>
      <c r="X94" s="468">
        <v>103935.61</v>
      </c>
      <c r="Y94" s="312"/>
      <c r="Z94" s="468">
        <v>101199.72</v>
      </c>
      <c r="AA94" s="312"/>
      <c r="AB94" s="468">
        <v>97298.97</v>
      </c>
      <c r="AC94" s="312"/>
      <c r="AD94" s="468">
        <v>97115.36</v>
      </c>
      <c r="AE94" s="462"/>
    </row>
    <row r="95" spans="1:31" x14ac:dyDescent="0.25">
      <c r="A95" s="485"/>
      <c r="B95" s="485"/>
      <c r="C95" s="485"/>
      <c r="D95" s="485" t="s">
        <v>483</v>
      </c>
      <c r="E95" s="485"/>
      <c r="F95" s="485"/>
      <c r="G95" s="485"/>
      <c r="H95" s="468"/>
      <c r="I95" s="312"/>
      <c r="J95" s="468"/>
      <c r="K95" s="312"/>
      <c r="L95" s="468"/>
      <c r="M95" s="312"/>
      <c r="N95" s="468"/>
      <c r="O95" s="312"/>
      <c r="P95" s="468"/>
      <c r="Q95" s="312"/>
      <c r="R95" s="468"/>
      <c r="S95" s="312"/>
      <c r="T95" s="468"/>
      <c r="U95" s="312"/>
      <c r="V95" s="468"/>
      <c r="W95" s="312"/>
      <c r="X95" s="468"/>
      <c r="Y95" s="312"/>
      <c r="Z95" s="468"/>
      <c r="AA95" s="312"/>
      <c r="AB95" s="468"/>
      <c r="AC95" s="312"/>
      <c r="AD95" s="468"/>
      <c r="AE95" s="462"/>
    </row>
    <row r="96" spans="1:31" x14ac:dyDescent="0.25">
      <c r="A96" s="485"/>
      <c r="B96" s="485"/>
      <c r="C96" s="485"/>
      <c r="D96" s="485"/>
      <c r="E96" s="485" t="s">
        <v>484</v>
      </c>
      <c r="F96" s="485"/>
      <c r="G96" s="485"/>
      <c r="H96" s="468">
        <v>92540.94</v>
      </c>
      <c r="I96" s="312"/>
      <c r="J96" s="468">
        <v>92540.94</v>
      </c>
      <c r="K96" s="312"/>
      <c r="L96" s="468">
        <v>92540.94</v>
      </c>
      <c r="M96" s="312"/>
      <c r="N96" s="468">
        <v>92540.94</v>
      </c>
      <c r="O96" s="312"/>
      <c r="P96" s="468">
        <v>92540.94</v>
      </c>
      <c r="Q96" s="312"/>
      <c r="R96" s="468">
        <v>92540.94</v>
      </c>
      <c r="S96" s="312"/>
      <c r="T96" s="468">
        <v>92540.94</v>
      </c>
      <c r="U96" s="312"/>
      <c r="V96" s="468">
        <v>92540.94</v>
      </c>
      <c r="W96" s="312"/>
      <c r="X96" s="468">
        <v>92540.94</v>
      </c>
      <c r="Y96" s="312"/>
      <c r="Z96" s="468">
        <v>92540.94</v>
      </c>
      <c r="AA96" s="312"/>
      <c r="AB96" s="468">
        <v>92540.94</v>
      </c>
      <c r="AC96" s="312"/>
      <c r="AD96" s="468">
        <v>92540.94</v>
      </c>
      <c r="AE96" s="462"/>
    </row>
    <row r="97" spans="1:30" x14ac:dyDescent="0.25">
      <c r="A97" s="485"/>
      <c r="B97" s="485"/>
      <c r="C97" s="485"/>
      <c r="D97" s="485"/>
      <c r="E97" s="485" t="s">
        <v>485</v>
      </c>
      <c r="F97" s="485"/>
      <c r="G97" s="485"/>
      <c r="H97" s="468">
        <v>-88891.21</v>
      </c>
      <c r="I97" s="312"/>
      <c r="J97" s="468">
        <v>-88891.21</v>
      </c>
      <c r="K97" s="312"/>
      <c r="L97" s="468">
        <v>-88891.21</v>
      </c>
      <c r="M97" s="312"/>
      <c r="N97" s="468">
        <v>-88891.21</v>
      </c>
      <c r="O97" s="312"/>
      <c r="P97" s="468">
        <v>-88891.21</v>
      </c>
      <c r="Q97" s="312"/>
      <c r="R97" s="468">
        <v>-88891.21</v>
      </c>
      <c r="S97" s="312"/>
      <c r="T97" s="468">
        <v>-88891.21</v>
      </c>
      <c r="U97" s="312"/>
      <c r="V97" s="468">
        <v>-88891.21</v>
      </c>
      <c r="W97" s="312"/>
      <c r="X97" s="468">
        <v>-88891.21</v>
      </c>
      <c r="Y97" s="312"/>
      <c r="Z97" s="468">
        <v>-88891.21</v>
      </c>
      <c r="AA97" s="312"/>
      <c r="AB97" s="468">
        <v>-88891.21</v>
      </c>
      <c r="AC97" s="312"/>
      <c r="AD97" s="468">
        <v>-88891.21</v>
      </c>
    </row>
    <row r="98" spans="1:30" ht="15.75" thickBot="1" x14ac:dyDescent="0.3">
      <c r="A98" s="485"/>
      <c r="B98" s="485"/>
      <c r="C98" s="485"/>
      <c r="D98" s="485"/>
      <c r="E98" s="485" t="s">
        <v>486</v>
      </c>
      <c r="F98" s="485"/>
      <c r="G98" s="485"/>
      <c r="H98" s="313">
        <v>-3649.73</v>
      </c>
      <c r="I98" s="312"/>
      <c r="J98" s="313">
        <v>-3649.73</v>
      </c>
      <c r="K98" s="312"/>
      <c r="L98" s="313">
        <v>-3649.73</v>
      </c>
      <c r="M98" s="312"/>
      <c r="N98" s="313">
        <v>-3649.73</v>
      </c>
      <c r="O98" s="312"/>
      <c r="P98" s="313">
        <v>-3649.73</v>
      </c>
      <c r="Q98" s="312"/>
      <c r="R98" s="313">
        <v>-3649.73</v>
      </c>
      <c r="S98" s="312"/>
      <c r="T98" s="313">
        <v>-3649.73</v>
      </c>
      <c r="U98" s="312"/>
      <c r="V98" s="313">
        <v>-3649.73</v>
      </c>
      <c r="W98" s="312"/>
      <c r="X98" s="313">
        <v>-3649.73</v>
      </c>
      <c r="Y98" s="312"/>
      <c r="Z98" s="313">
        <v>-3649.73</v>
      </c>
      <c r="AA98" s="312"/>
      <c r="AB98" s="313">
        <v>-3649.73</v>
      </c>
      <c r="AC98" s="312"/>
      <c r="AD98" s="313">
        <v>-3649.73</v>
      </c>
    </row>
    <row r="99" spans="1:30" x14ac:dyDescent="0.25">
      <c r="A99" s="485"/>
      <c r="B99" s="485"/>
      <c r="C99" s="485"/>
      <c r="D99" s="485" t="s">
        <v>487</v>
      </c>
      <c r="E99" s="485"/>
      <c r="F99" s="485"/>
      <c r="G99" s="485"/>
      <c r="H99" s="468">
        <f>ROUND(SUM(H95:H98),5)</f>
        <v>0</v>
      </c>
      <c r="I99" s="312"/>
      <c r="J99" s="468">
        <f>ROUND(SUM(J95:J98),5)</f>
        <v>0</v>
      </c>
      <c r="K99" s="312"/>
      <c r="L99" s="468">
        <f>ROUND(SUM(L95:L98),5)</f>
        <v>0</v>
      </c>
      <c r="M99" s="312"/>
      <c r="N99" s="468">
        <f>ROUND(SUM(N95:N98),5)</f>
        <v>0</v>
      </c>
      <c r="O99" s="312"/>
      <c r="P99" s="468">
        <f>ROUND(SUM(P95:P98),5)</f>
        <v>0</v>
      </c>
      <c r="Q99" s="312"/>
      <c r="R99" s="468">
        <f>ROUND(SUM(R95:R98),5)</f>
        <v>0</v>
      </c>
      <c r="S99" s="312"/>
      <c r="T99" s="468">
        <f>ROUND(SUM(T95:T98),5)</f>
        <v>0</v>
      </c>
      <c r="U99" s="312"/>
      <c r="V99" s="468">
        <f>ROUND(SUM(V95:V98),5)</f>
        <v>0</v>
      </c>
      <c r="W99" s="312"/>
      <c r="X99" s="468">
        <f>ROUND(SUM(X95:X98),5)</f>
        <v>0</v>
      </c>
      <c r="Y99" s="312"/>
      <c r="Z99" s="468">
        <f>ROUND(SUM(Z95:Z98),5)</f>
        <v>0</v>
      </c>
      <c r="AA99" s="312"/>
      <c r="AB99" s="468">
        <f>ROUND(SUM(AB95:AB98),5)</f>
        <v>0</v>
      </c>
      <c r="AC99" s="312"/>
      <c r="AD99" s="468">
        <f>ROUND(SUM(AD95:AD98),5)</f>
        <v>0</v>
      </c>
    </row>
    <row r="100" spans="1:30" ht="15.75" thickBot="1" x14ac:dyDescent="0.3">
      <c r="A100" s="485"/>
      <c r="B100" s="485"/>
      <c r="C100" s="485"/>
      <c r="D100" s="485" t="s">
        <v>488</v>
      </c>
      <c r="E100" s="485"/>
      <c r="F100" s="485"/>
      <c r="G100" s="485"/>
      <c r="H100" s="313">
        <v>15000</v>
      </c>
      <c r="I100" s="312"/>
      <c r="J100" s="313">
        <v>15000</v>
      </c>
      <c r="K100" s="312"/>
      <c r="L100" s="313">
        <v>15000</v>
      </c>
      <c r="M100" s="312"/>
      <c r="N100" s="313">
        <v>0</v>
      </c>
      <c r="O100" s="312"/>
      <c r="P100" s="313">
        <v>0</v>
      </c>
      <c r="Q100" s="312"/>
      <c r="R100" s="313">
        <v>3000</v>
      </c>
      <c r="S100" s="312"/>
      <c r="T100" s="313">
        <v>3000</v>
      </c>
      <c r="U100" s="312"/>
      <c r="V100" s="313">
        <v>3000</v>
      </c>
      <c r="W100" s="312"/>
      <c r="X100" s="313">
        <v>0</v>
      </c>
      <c r="Y100" s="312"/>
      <c r="Z100" s="313">
        <v>0</v>
      </c>
      <c r="AA100" s="312"/>
      <c r="AB100" s="313">
        <v>0</v>
      </c>
      <c r="AC100" s="312"/>
      <c r="AD100" s="313">
        <v>0</v>
      </c>
    </row>
    <row r="101" spans="1:30" x14ac:dyDescent="0.25">
      <c r="A101" s="485"/>
      <c r="B101" s="485"/>
      <c r="C101" s="485" t="s">
        <v>489</v>
      </c>
      <c r="D101" s="485"/>
      <c r="E101" s="485"/>
      <c r="F101" s="485"/>
      <c r="G101" s="485"/>
      <c r="H101" s="468">
        <f>ROUND(SUM(H91:H94)+SUM(H99:H100),5)</f>
        <v>190160.55</v>
      </c>
      <c r="I101" s="312"/>
      <c r="J101" s="468">
        <f>ROUND(SUM(J91:J94)+SUM(J99:J100),5)</f>
        <v>180207.81</v>
      </c>
      <c r="K101" s="312"/>
      <c r="L101" s="468">
        <f>ROUND(SUM(L91:L94)+SUM(L99:L100),5)</f>
        <v>166217.67000000001</v>
      </c>
      <c r="M101" s="312"/>
      <c r="N101" s="468">
        <f>ROUND(SUM(N91:N94)+SUM(N99:N100),5)</f>
        <v>136229.20000000001</v>
      </c>
      <c r="O101" s="312"/>
      <c r="P101" s="468">
        <f>ROUND(SUM(P91:P94)+SUM(P99:P100),5)</f>
        <v>123465.4</v>
      </c>
      <c r="Q101" s="312"/>
      <c r="R101" s="468">
        <f>ROUND(SUM(R91:R94)+SUM(R99:R100),5)</f>
        <v>115566.97</v>
      </c>
      <c r="S101" s="312"/>
      <c r="T101" s="468">
        <f>ROUND(SUM(T91:T94)+SUM(T99:T100),5)</f>
        <v>102702.58</v>
      </c>
      <c r="U101" s="312"/>
      <c r="V101" s="468">
        <f>ROUND(SUM(V91:V94)+SUM(V99:V100),5)</f>
        <v>163908.97</v>
      </c>
      <c r="W101" s="312"/>
      <c r="X101" s="468">
        <f>ROUND(SUM(X91:X94)+SUM(X99:X100),5)</f>
        <v>180100.69</v>
      </c>
      <c r="Y101" s="312"/>
      <c r="Z101" s="468">
        <f>ROUND(SUM(Z91:Z94)+SUM(Z99:Z100),5)</f>
        <v>188547.11</v>
      </c>
      <c r="AA101" s="312"/>
      <c r="AB101" s="468">
        <f>ROUND(SUM(AB91:AB94)+SUM(AB99:AB100),5)</f>
        <v>179427.92</v>
      </c>
      <c r="AC101" s="312"/>
      <c r="AD101" s="468">
        <f>ROUND(SUM(AD91:AD94)+SUM(AD99:AD100),5)</f>
        <v>188406.35</v>
      </c>
    </row>
    <row r="102" spans="1:30" ht="15.75" thickBot="1" x14ac:dyDescent="0.3">
      <c r="A102" s="485"/>
      <c r="B102" s="485"/>
      <c r="C102" s="485" t="s">
        <v>187</v>
      </c>
      <c r="D102" s="485"/>
      <c r="E102" s="485"/>
      <c r="F102" s="485"/>
      <c r="G102" s="485"/>
      <c r="H102" s="467">
        <v>-149598.82</v>
      </c>
      <c r="I102" s="312"/>
      <c r="J102" s="467">
        <v>-20098.919999999998</v>
      </c>
      <c r="K102" s="312"/>
      <c r="L102" s="467">
        <v>-51956.99</v>
      </c>
      <c r="M102" s="312"/>
      <c r="N102" s="467">
        <v>-72706.19</v>
      </c>
      <c r="O102" s="312"/>
      <c r="P102" s="467">
        <v>-104440.88</v>
      </c>
      <c r="Q102" s="312"/>
      <c r="R102" s="467">
        <v>-127852.68</v>
      </c>
      <c r="S102" s="312"/>
      <c r="T102" s="467">
        <v>-120571.66</v>
      </c>
      <c r="U102" s="312"/>
      <c r="V102" s="467">
        <v>-56594.17</v>
      </c>
      <c r="W102" s="312"/>
      <c r="X102" s="467">
        <v>-54158.11</v>
      </c>
      <c r="Y102" s="312"/>
      <c r="Z102" s="467">
        <v>-67906.55</v>
      </c>
      <c r="AA102" s="312"/>
      <c r="AB102" s="467">
        <v>-58725.61</v>
      </c>
      <c r="AC102" s="312"/>
      <c r="AD102" s="467">
        <v>-62430.45</v>
      </c>
    </row>
    <row r="103" spans="1:30" ht="15.75" thickBot="1" x14ac:dyDescent="0.3">
      <c r="A103" s="485"/>
      <c r="B103" s="485" t="s">
        <v>320</v>
      </c>
      <c r="C103" s="485"/>
      <c r="D103" s="485"/>
      <c r="E103" s="485"/>
      <c r="F103" s="485"/>
      <c r="G103" s="485"/>
      <c r="H103" s="315">
        <f>ROUND(SUM(H85:H86)+H90+SUM(H101:H102),5)</f>
        <v>237429.58</v>
      </c>
      <c r="I103" s="312"/>
      <c r="J103" s="315">
        <f>ROUND(SUM(J85:J86)+J90+SUM(J101:J102),5)</f>
        <v>217330.66</v>
      </c>
      <c r="K103" s="312"/>
      <c r="L103" s="315">
        <f>ROUND(SUM(L85:L86)+L90+SUM(L101:L102),5)</f>
        <v>185472.59</v>
      </c>
      <c r="M103" s="312"/>
      <c r="N103" s="315">
        <f>ROUND(SUM(N85:N86)+N90+SUM(N101:N102),5)</f>
        <v>164723.39000000001</v>
      </c>
      <c r="O103" s="312"/>
      <c r="P103" s="315">
        <f>ROUND(SUM(P85:P86)+P90+SUM(P101:P102),5)</f>
        <v>132988.70000000001</v>
      </c>
      <c r="Q103" s="312"/>
      <c r="R103" s="315">
        <f>ROUND(SUM(R85:R86)+R90+SUM(R101:R102),5)</f>
        <v>109576.9</v>
      </c>
      <c r="S103" s="312"/>
      <c r="T103" s="315">
        <f>ROUND(SUM(T85:T86)+T90+SUM(T101:T102),5)</f>
        <v>116857.92</v>
      </c>
      <c r="U103" s="312"/>
      <c r="V103" s="315">
        <f>ROUND(SUM(V85:V86)+V90+SUM(V101:V102),5)</f>
        <v>180835.41</v>
      </c>
      <c r="W103" s="312"/>
      <c r="X103" s="315">
        <f>ROUND(SUM(X85:X86)+X90+SUM(X101:X102),5)</f>
        <v>183271.47</v>
      </c>
      <c r="Y103" s="312"/>
      <c r="Z103" s="315">
        <f>ROUND(SUM(Z85:Z86)+Z90+SUM(Z101:Z102),5)</f>
        <v>180953.03</v>
      </c>
      <c r="AA103" s="312"/>
      <c r="AB103" s="315">
        <f>ROUND(SUM(AB85:AB86)+AB90+SUM(AB101:AB102),5)</f>
        <v>178703.97</v>
      </c>
      <c r="AC103" s="312"/>
      <c r="AD103" s="315">
        <f>ROUND(SUM(AD85:AD86)+AD90+SUM(AD101:AD102),5)</f>
        <v>174999.13</v>
      </c>
    </row>
    <row r="104" spans="1:30" ht="15.75" thickBot="1" x14ac:dyDescent="0.3">
      <c r="A104" s="485" t="s">
        <v>321</v>
      </c>
      <c r="B104" s="485"/>
      <c r="C104" s="485"/>
      <c r="D104" s="485"/>
      <c r="E104" s="485"/>
      <c r="F104" s="485"/>
      <c r="G104" s="485"/>
      <c r="H104" s="316">
        <f>ROUND(H27+H84+H103,5)</f>
        <v>373578.43</v>
      </c>
      <c r="I104" s="485"/>
      <c r="J104" s="316">
        <f>ROUND(J27+J84+J103,5)</f>
        <v>385290.11</v>
      </c>
      <c r="K104" s="485"/>
      <c r="L104" s="316">
        <f>ROUND(L27+L84+L103,5)</f>
        <v>402359.46</v>
      </c>
      <c r="M104" s="485"/>
      <c r="N104" s="316">
        <f>ROUND(N27+N84+N103,5)</f>
        <v>411823.19</v>
      </c>
      <c r="O104" s="485"/>
      <c r="P104" s="316">
        <f>ROUND(P27+P84+P103,5)</f>
        <v>314975.03000000003</v>
      </c>
      <c r="Q104" s="485"/>
      <c r="R104" s="316">
        <f>ROUND(R27+R84+R103,5)</f>
        <v>310664.71000000002</v>
      </c>
      <c r="S104" s="485"/>
      <c r="T104" s="316">
        <f>ROUND(T27+T84+T103,5)</f>
        <v>350939.05</v>
      </c>
      <c r="U104" s="485"/>
      <c r="V104" s="316">
        <f>ROUND(V27+V84+V103,5)</f>
        <v>410309.99</v>
      </c>
      <c r="W104" s="485"/>
      <c r="X104" s="316">
        <f>ROUND(X27+X84+X103,5)</f>
        <v>455627.16</v>
      </c>
      <c r="Y104" s="485"/>
      <c r="Z104" s="316">
        <f>ROUND(Z27+Z84+Z103,5)</f>
        <v>409517.45</v>
      </c>
      <c r="AA104" s="485"/>
      <c r="AB104" s="316">
        <f>ROUND(AB27+AB84+AB103,5)</f>
        <v>486026.98</v>
      </c>
      <c r="AC104" s="485"/>
      <c r="AD104" s="316">
        <f>ROUND(AD27+AD84+AD103,5)</f>
        <v>443427.85</v>
      </c>
    </row>
    <row r="105" spans="1:30" ht="15.75" thickTop="1" x14ac:dyDescent="0.25"/>
  </sheetData>
  <pageMargins left="0.2" right="0.2" top="0.75" bottom="0.5" header="0.1" footer="0.3"/>
  <pageSetup scale="90" orientation="portrait" r:id="rId1"/>
  <headerFooter>
    <oddHeader>&amp;L&amp;"Arial,Bold"&amp;8 5:08 PM
 12/31/18
 Accrual Basis&amp;C&amp;"Arial,Bold"&amp;12 League of Women Voters of California Education Fund
&amp;14 Statement of Financial Position
&amp;10 As of November 30, 2018</oddHeader>
    <oddFooter>&amp;R&amp;"Arial,Bold"&amp;8 Page &amp;P of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N54"/>
  <sheetViews>
    <sheetView workbookViewId="0">
      <pane xSplit="7" ySplit="1" topLeftCell="H25" activePane="bottomRight" state="frozenSplit"/>
      <selection pane="topRight" activeCell="H1" sqref="H1"/>
      <selection pane="bottomLeft" activeCell="A2" sqref="A2"/>
      <selection pane="bottomRight" activeCell="V63" sqref="V63:V68"/>
    </sheetView>
  </sheetViews>
  <sheetFormatPr defaultRowHeight="11.25" x14ac:dyDescent="0.2"/>
  <cols>
    <col min="1" max="6" width="2" style="463" customWidth="1"/>
    <col min="7" max="7" width="43.28515625" style="463" customWidth="1"/>
    <col min="8" max="8" width="12.28515625" style="404" bestFit="1" customWidth="1"/>
    <col min="9" max="9" width="1.85546875" style="404" customWidth="1"/>
    <col min="10" max="10" width="12.5703125" style="403" customWidth="1"/>
    <col min="11" max="11" width="1.85546875" style="404" customWidth="1"/>
    <col min="12" max="12" width="11.5703125" style="404" customWidth="1"/>
    <col min="13" max="16384" width="9.140625" style="332"/>
  </cols>
  <sheetData>
    <row r="1" spans="1:12" s="331" customFormat="1" ht="23.25" thickBot="1" x14ac:dyDescent="0.25">
      <c r="A1" s="465"/>
      <c r="B1" s="465"/>
      <c r="C1" s="465"/>
      <c r="D1" s="465"/>
      <c r="E1" s="465"/>
      <c r="F1" s="465"/>
      <c r="G1" s="465"/>
      <c r="H1" s="341" t="s">
        <v>506</v>
      </c>
      <c r="I1" s="328"/>
      <c r="J1" s="329" t="s">
        <v>490</v>
      </c>
      <c r="K1" s="328"/>
      <c r="L1" s="330" t="s">
        <v>341</v>
      </c>
    </row>
    <row r="2" spans="1:12" ht="12" thickTop="1" x14ac:dyDescent="0.2">
      <c r="A2" s="485"/>
      <c r="B2" s="485" t="s">
        <v>157</v>
      </c>
      <c r="C2" s="485"/>
      <c r="D2" s="485"/>
      <c r="E2" s="485"/>
      <c r="F2" s="485"/>
      <c r="G2" s="485"/>
      <c r="H2" s="468"/>
      <c r="I2" s="402"/>
    </row>
    <row r="3" spans="1:12" ht="12.75" customHeight="1" x14ac:dyDescent="0.2">
      <c r="A3" s="485"/>
      <c r="B3" s="485"/>
      <c r="C3" s="485"/>
      <c r="D3" s="485" t="s">
        <v>158</v>
      </c>
      <c r="E3" s="485"/>
      <c r="F3" s="485"/>
      <c r="G3" s="485"/>
      <c r="H3" s="468"/>
      <c r="I3" s="402"/>
    </row>
    <row r="4" spans="1:12" ht="12.75" customHeight="1" x14ac:dyDescent="0.2">
      <c r="A4" s="485"/>
      <c r="B4" s="485"/>
      <c r="C4" s="485"/>
      <c r="D4" s="485"/>
      <c r="E4" s="485" t="s">
        <v>160</v>
      </c>
      <c r="F4" s="485"/>
      <c r="G4" s="485"/>
      <c r="H4" s="468"/>
      <c r="I4" s="402"/>
    </row>
    <row r="5" spans="1:12" ht="12.75" customHeight="1" x14ac:dyDescent="0.2">
      <c r="A5" s="485"/>
      <c r="B5" s="485"/>
      <c r="C5" s="485"/>
      <c r="D5" s="485"/>
      <c r="E5" s="485"/>
      <c r="F5" s="485" t="s">
        <v>390</v>
      </c>
      <c r="G5" s="485"/>
      <c r="H5" s="468"/>
      <c r="I5" s="402"/>
    </row>
    <row r="6" spans="1:12" ht="12" thickBot="1" x14ac:dyDescent="0.25">
      <c r="A6" s="485"/>
      <c r="B6" s="485"/>
      <c r="C6" s="485"/>
      <c r="D6" s="485"/>
      <c r="E6" s="485"/>
      <c r="F6" s="485"/>
      <c r="G6" s="485" t="s">
        <v>391</v>
      </c>
      <c r="H6" s="313">
        <v>12417.63</v>
      </c>
      <c r="I6" s="406"/>
      <c r="J6" s="407"/>
      <c r="K6" s="411"/>
      <c r="L6" s="408">
        <f t="shared" ref="L6:L14" si="0">+H6+J6</f>
        <v>12417.63</v>
      </c>
    </row>
    <row r="7" spans="1:12" x14ac:dyDescent="0.2">
      <c r="A7" s="485"/>
      <c r="B7" s="485"/>
      <c r="C7" s="485"/>
      <c r="D7" s="485"/>
      <c r="E7" s="485"/>
      <c r="F7" s="485" t="s">
        <v>392</v>
      </c>
      <c r="G7" s="485"/>
      <c r="H7" s="468">
        <f>ROUND(SUM(H5:H6),5)</f>
        <v>12417.63</v>
      </c>
      <c r="I7" s="406"/>
      <c r="J7" s="415"/>
      <c r="L7" s="411">
        <f t="shared" si="0"/>
        <v>12417.63</v>
      </c>
    </row>
    <row r="8" spans="1:12" x14ac:dyDescent="0.2">
      <c r="A8" s="485"/>
      <c r="B8" s="485"/>
      <c r="C8" s="485"/>
      <c r="D8" s="485"/>
      <c r="E8" s="485"/>
      <c r="F8" s="485" t="s">
        <v>393</v>
      </c>
      <c r="G8" s="485"/>
      <c r="H8" s="468"/>
      <c r="I8" s="402"/>
      <c r="J8" s="468">
        <v>24150</v>
      </c>
      <c r="L8" s="411">
        <f t="shared" si="0"/>
        <v>24150</v>
      </c>
    </row>
    <row r="9" spans="1:12" x14ac:dyDescent="0.2">
      <c r="A9" s="485"/>
      <c r="B9" s="485"/>
      <c r="C9" s="485"/>
      <c r="D9" s="485"/>
      <c r="E9" s="485"/>
      <c r="F9" s="485" t="s">
        <v>394</v>
      </c>
      <c r="G9" s="485"/>
      <c r="H9" s="468">
        <v>200</v>
      </c>
      <c r="I9" s="402"/>
      <c r="J9" s="415"/>
      <c r="L9" s="411">
        <f t="shared" si="0"/>
        <v>200</v>
      </c>
    </row>
    <row r="10" spans="1:12" x14ac:dyDescent="0.2">
      <c r="A10" s="485"/>
      <c r="B10" s="485"/>
      <c r="C10" s="485"/>
      <c r="D10" s="485"/>
      <c r="E10" s="485"/>
      <c r="F10" s="485" t="s">
        <v>395</v>
      </c>
      <c r="G10" s="485"/>
      <c r="H10" s="468">
        <v>165133.57999999999</v>
      </c>
      <c r="I10" s="402"/>
      <c r="J10" s="468"/>
      <c r="L10" s="411">
        <f t="shared" si="0"/>
        <v>165133.57999999999</v>
      </c>
    </row>
    <row r="11" spans="1:12" ht="12.75" customHeight="1" x14ac:dyDescent="0.2">
      <c r="A11" s="485"/>
      <c r="B11" s="485"/>
      <c r="C11" s="485"/>
      <c r="D11" s="485"/>
      <c r="E11" s="485"/>
      <c r="F11" s="485" t="s">
        <v>396</v>
      </c>
      <c r="G11" s="485"/>
      <c r="H11" s="468"/>
      <c r="I11" s="402"/>
      <c r="J11" s="415">
        <v>22299.7</v>
      </c>
      <c r="L11" s="411">
        <f t="shared" si="0"/>
        <v>22299.7</v>
      </c>
    </row>
    <row r="12" spans="1:12" ht="12.75" customHeight="1" x14ac:dyDescent="0.2">
      <c r="A12" s="485"/>
      <c r="B12" s="485"/>
      <c r="C12" s="485"/>
      <c r="D12" s="485"/>
      <c r="E12" s="485"/>
      <c r="F12" s="485" t="s">
        <v>205</v>
      </c>
      <c r="G12" s="485"/>
      <c r="H12" s="468">
        <v>787.04</v>
      </c>
      <c r="I12" s="402"/>
      <c r="L12" s="411">
        <f t="shared" si="0"/>
        <v>787.04</v>
      </c>
    </row>
    <row r="13" spans="1:12" ht="12.75" customHeight="1" x14ac:dyDescent="0.2">
      <c r="A13" s="485"/>
      <c r="B13" s="485"/>
      <c r="C13" s="485"/>
      <c r="D13" s="485"/>
      <c r="E13" s="485"/>
      <c r="F13" s="485" t="s">
        <v>206</v>
      </c>
      <c r="G13" s="485"/>
      <c r="H13" s="468">
        <v>1450</v>
      </c>
      <c r="I13" s="402"/>
      <c r="L13" s="411">
        <f t="shared" si="0"/>
        <v>1450</v>
      </c>
    </row>
    <row r="14" spans="1:12" ht="12.75" customHeight="1" thickBot="1" x14ac:dyDescent="0.25">
      <c r="A14" s="485"/>
      <c r="B14" s="485"/>
      <c r="C14" s="485"/>
      <c r="D14" s="485"/>
      <c r="E14" s="485"/>
      <c r="F14" s="485" t="s">
        <v>207</v>
      </c>
      <c r="G14" s="485"/>
      <c r="H14" s="313">
        <v>11430</v>
      </c>
      <c r="I14" s="402"/>
      <c r="J14" s="313">
        <v>78000</v>
      </c>
      <c r="L14" s="408">
        <f t="shared" si="0"/>
        <v>89430</v>
      </c>
    </row>
    <row r="15" spans="1:12" ht="12.75" customHeight="1" x14ac:dyDescent="0.2">
      <c r="A15" s="485"/>
      <c r="B15" s="485"/>
      <c r="C15" s="485"/>
      <c r="D15" s="485"/>
      <c r="E15" s="485" t="s">
        <v>209</v>
      </c>
      <c r="F15" s="485"/>
      <c r="G15" s="485"/>
      <c r="H15" s="468">
        <f>ROUND(H4+SUM(H7:H14),5)</f>
        <v>191418.25</v>
      </c>
      <c r="I15" s="402"/>
      <c r="J15" s="415">
        <f>SUM(J8:J14)</f>
        <v>124449.7</v>
      </c>
      <c r="L15" s="404">
        <f>SUM(H15:J15)</f>
        <v>315867.95</v>
      </c>
    </row>
    <row r="16" spans="1:12" ht="12.75" customHeight="1" x14ac:dyDescent="0.2">
      <c r="A16" s="485"/>
      <c r="B16" s="485"/>
      <c r="C16" s="485"/>
      <c r="D16" s="485"/>
      <c r="E16" s="485" t="s">
        <v>397</v>
      </c>
      <c r="F16" s="485"/>
      <c r="G16" s="485"/>
      <c r="H16" s="468"/>
      <c r="I16" s="402"/>
      <c r="J16" s="415"/>
      <c r="L16" s="411"/>
    </row>
    <row r="17" spans="1:12" ht="12.75" customHeight="1" x14ac:dyDescent="0.2">
      <c r="A17" s="485"/>
      <c r="B17" s="485"/>
      <c r="C17" s="485"/>
      <c r="D17" s="485"/>
      <c r="E17" s="485"/>
      <c r="F17" s="485" t="s">
        <v>398</v>
      </c>
      <c r="G17" s="485"/>
      <c r="H17" s="468">
        <v>929.83</v>
      </c>
      <c r="I17" s="406"/>
      <c r="J17" s="415"/>
      <c r="L17" s="411">
        <f t="shared" ref="L17:L25" si="1">+H17+J17</f>
        <v>929.83</v>
      </c>
    </row>
    <row r="18" spans="1:12" ht="12.75" customHeight="1" x14ac:dyDescent="0.2">
      <c r="A18" s="485"/>
      <c r="B18" s="485"/>
      <c r="C18" s="485"/>
      <c r="D18" s="485"/>
      <c r="E18" s="485"/>
      <c r="F18" s="485" t="s">
        <v>211</v>
      </c>
      <c r="G18" s="485"/>
      <c r="H18" s="468">
        <v>3950.87</v>
      </c>
      <c r="I18" s="406"/>
      <c r="J18" s="415"/>
      <c r="K18" s="411"/>
      <c r="L18" s="411">
        <f t="shared" si="1"/>
        <v>3950.87</v>
      </c>
    </row>
    <row r="19" spans="1:12" x14ac:dyDescent="0.2">
      <c r="A19" s="485"/>
      <c r="B19" s="485"/>
      <c r="C19" s="485"/>
      <c r="D19" s="485"/>
      <c r="E19" s="485"/>
      <c r="F19" s="485" t="s">
        <v>212</v>
      </c>
      <c r="G19" s="485"/>
      <c r="H19" s="468">
        <v>-54.37</v>
      </c>
      <c r="I19" s="402"/>
      <c r="J19" s="415"/>
      <c r="K19" s="411"/>
      <c r="L19" s="411">
        <f t="shared" si="1"/>
        <v>-54.37</v>
      </c>
    </row>
    <row r="20" spans="1:12" ht="21.75" customHeight="1" thickBot="1" x14ac:dyDescent="0.25">
      <c r="A20" s="485"/>
      <c r="B20" s="485"/>
      <c r="C20" s="485"/>
      <c r="D20" s="485"/>
      <c r="E20" s="485"/>
      <c r="F20" s="485" t="s">
        <v>399</v>
      </c>
      <c r="G20" s="485"/>
      <c r="H20" s="313">
        <v>28800</v>
      </c>
      <c r="I20" s="402"/>
      <c r="J20" s="405"/>
      <c r="K20" s="411"/>
      <c r="L20" s="408">
        <f t="shared" si="1"/>
        <v>28800</v>
      </c>
    </row>
    <row r="21" spans="1:12" ht="12.75" customHeight="1" x14ac:dyDescent="0.2">
      <c r="A21" s="485"/>
      <c r="B21" s="485"/>
      <c r="C21" s="485"/>
      <c r="D21" s="485"/>
      <c r="E21" s="485" t="s">
        <v>400</v>
      </c>
      <c r="F21" s="485"/>
      <c r="G21" s="485"/>
      <c r="H21" s="468">
        <f>ROUND(SUM(H16:H20),5)</f>
        <v>33626.33</v>
      </c>
      <c r="I21" s="402"/>
      <c r="J21" s="415"/>
      <c r="L21" s="411">
        <f t="shared" si="1"/>
        <v>33626.33</v>
      </c>
    </row>
    <row r="22" spans="1:12" ht="12.75" customHeight="1" x14ac:dyDescent="0.2">
      <c r="A22" s="485"/>
      <c r="B22" s="485"/>
      <c r="C22" s="485"/>
      <c r="D22" s="485"/>
      <c r="E22" s="485" t="s">
        <v>401</v>
      </c>
      <c r="F22" s="485"/>
      <c r="G22" s="485"/>
      <c r="H22" s="468">
        <v>1925</v>
      </c>
      <c r="I22" s="402"/>
      <c r="J22" s="415"/>
      <c r="K22" s="411"/>
      <c r="L22" s="411">
        <f t="shared" si="1"/>
        <v>1925</v>
      </c>
    </row>
    <row r="23" spans="1:12" ht="12.75" customHeight="1" x14ac:dyDescent="0.2">
      <c r="A23" s="485"/>
      <c r="B23" s="485"/>
      <c r="C23" s="485"/>
      <c r="D23" s="485"/>
      <c r="E23" s="485" t="s">
        <v>163</v>
      </c>
      <c r="F23" s="485"/>
      <c r="G23" s="485"/>
      <c r="H23" s="468">
        <v>-24.08</v>
      </c>
      <c r="I23" s="402"/>
      <c r="J23" s="415"/>
      <c r="K23" s="411"/>
      <c r="L23" s="411">
        <f t="shared" si="1"/>
        <v>-24.08</v>
      </c>
    </row>
    <row r="24" spans="1:12" ht="12.75" customHeight="1" thickBot="1" x14ac:dyDescent="0.25">
      <c r="A24" s="485"/>
      <c r="B24" s="485"/>
      <c r="C24" s="485"/>
      <c r="D24" s="485"/>
      <c r="E24" s="485" t="s">
        <v>402</v>
      </c>
      <c r="F24" s="485"/>
      <c r="G24" s="485"/>
      <c r="H24" s="313">
        <v>172.06</v>
      </c>
      <c r="I24" s="402"/>
      <c r="J24" s="407"/>
      <c r="L24" s="541">
        <f t="shared" si="1"/>
        <v>172.06</v>
      </c>
    </row>
    <row r="25" spans="1:12" ht="12.75" customHeight="1" x14ac:dyDescent="0.2">
      <c r="A25" s="485"/>
      <c r="B25" s="485"/>
      <c r="C25" s="485"/>
      <c r="D25" s="485" t="s">
        <v>9</v>
      </c>
      <c r="E25" s="485"/>
      <c r="F25" s="485"/>
      <c r="G25" s="485"/>
      <c r="H25" s="468">
        <f>ROUND(H3+H15+SUM(H21:H24),5)</f>
        <v>227117.56</v>
      </c>
      <c r="I25" s="406"/>
      <c r="J25" s="468">
        <f>ROUND(J15+SUM(J21:J24),5)</f>
        <v>124449.7</v>
      </c>
      <c r="L25" s="404">
        <f t="shared" si="1"/>
        <v>351567.26</v>
      </c>
    </row>
    <row r="26" spans="1:12" ht="12.75" customHeight="1" x14ac:dyDescent="0.2">
      <c r="A26" s="485"/>
      <c r="B26" s="485"/>
      <c r="C26" s="485"/>
      <c r="D26" s="485" t="s">
        <v>164</v>
      </c>
      <c r="E26" s="485"/>
      <c r="F26" s="485"/>
      <c r="G26" s="485"/>
      <c r="H26" s="468"/>
      <c r="I26" s="402"/>
      <c r="J26" s="415"/>
      <c r="K26" s="411"/>
      <c r="L26" s="411"/>
    </row>
    <row r="27" spans="1:12" ht="30" customHeight="1" thickBot="1" x14ac:dyDescent="0.25">
      <c r="A27" s="485"/>
      <c r="B27" s="485"/>
      <c r="C27" s="485"/>
      <c r="D27" s="485"/>
      <c r="E27" s="485" t="s">
        <v>165</v>
      </c>
      <c r="F27" s="485"/>
      <c r="G27" s="485"/>
      <c r="H27" s="467">
        <v>3158.16</v>
      </c>
      <c r="I27" s="406"/>
      <c r="J27" s="540">
        <f>SUM(J26)</f>
        <v>0</v>
      </c>
      <c r="L27" s="541">
        <f>SUM(H27:K27)</f>
        <v>3158.16</v>
      </c>
    </row>
    <row r="28" spans="1:12" ht="12.75" customHeight="1" thickBot="1" x14ac:dyDescent="0.25">
      <c r="A28" s="485"/>
      <c r="B28" s="485"/>
      <c r="C28" s="485"/>
      <c r="D28" s="485" t="s">
        <v>166</v>
      </c>
      <c r="E28" s="485"/>
      <c r="F28" s="485"/>
      <c r="G28" s="485"/>
      <c r="H28" s="314">
        <f>ROUND(SUM(H26:H27),5)</f>
        <v>3158.16</v>
      </c>
      <c r="I28" s="406"/>
      <c r="J28" s="407">
        <v>0</v>
      </c>
      <c r="L28" s="408">
        <f>SUM(H28:J28)</f>
        <v>3158.16</v>
      </c>
    </row>
    <row r="29" spans="1:12" ht="18.75" customHeight="1" thickBot="1" x14ac:dyDescent="0.25">
      <c r="A29" s="485"/>
      <c r="B29" s="485"/>
      <c r="C29" s="485"/>
      <c r="D29" s="485" t="s">
        <v>491</v>
      </c>
      <c r="E29" s="485"/>
      <c r="F29" s="485"/>
      <c r="G29" s="485"/>
      <c r="H29" s="550">
        <f>-J29</f>
        <v>132972.28999999998</v>
      </c>
      <c r="I29" s="406"/>
      <c r="J29" s="407">
        <f>-'[1]YTD Summary Stmt of Actv.'!AB7</f>
        <v>-132972.28999999998</v>
      </c>
      <c r="L29" s="408">
        <f>SUM(H29:J29)</f>
        <v>0</v>
      </c>
    </row>
    <row r="30" spans="1:12" ht="18.75" hidden="1" customHeight="1" x14ac:dyDescent="0.2">
      <c r="A30" s="485"/>
      <c r="B30" s="485"/>
      <c r="C30" s="485" t="s">
        <v>492</v>
      </c>
      <c r="D30" s="485"/>
      <c r="E30" s="485"/>
      <c r="F30" s="485"/>
      <c r="G30" s="485"/>
      <c r="H30" s="551">
        <f>+H25+H29-H28</f>
        <v>356931.69</v>
      </c>
      <c r="I30" s="409"/>
      <c r="J30" s="409">
        <f>+J25+J29-J28</f>
        <v>-8522.589999999982</v>
      </c>
      <c r="K30" s="410"/>
      <c r="L30" s="409">
        <f>+L25+L29-L28</f>
        <v>348409.10000000003</v>
      </c>
    </row>
    <row r="31" spans="1:12" ht="12.75" customHeight="1" x14ac:dyDescent="0.2">
      <c r="A31" s="485"/>
      <c r="B31" s="485"/>
      <c r="C31" s="485"/>
      <c r="D31" s="485"/>
      <c r="E31" s="485"/>
      <c r="F31" s="485"/>
      <c r="G31" s="485"/>
      <c r="H31" s="552"/>
      <c r="I31" s="406"/>
    </row>
    <row r="32" spans="1:12" ht="18" hidden="1" customHeight="1" thickBot="1" x14ac:dyDescent="0.25">
      <c r="A32" s="485"/>
      <c r="B32" s="485"/>
      <c r="C32" s="485"/>
      <c r="D32" s="485" t="s">
        <v>168</v>
      </c>
      <c r="E32" s="485"/>
      <c r="F32" s="485"/>
      <c r="G32" s="485"/>
      <c r="H32" s="468"/>
      <c r="I32" s="402"/>
    </row>
    <row r="33" spans="1:14" ht="13.5" customHeight="1" x14ac:dyDescent="0.2">
      <c r="A33" s="485"/>
      <c r="B33" s="485"/>
      <c r="C33" s="485"/>
      <c r="D33" s="485"/>
      <c r="E33" s="485" t="s">
        <v>497</v>
      </c>
      <c r="F33" s="485"/>
      <c r="G33" s="485"/>
      <c r="H33" s="468">
        <v>56.35</v>
      </c>
      <c r="I33" s="402"/>
      <c r="L33" s="404">
        <f t="shared" ref="L33:L47" si="2">SUM(H33:J33)</f>
        <v>56.35</v>
      </c>
    </row>
    <row r="34" spans="1:14" ht="13.5" customHeight="1" x14ac:dyDescent="0.2">
      <c r="A34" s="485"/>
      <c r="B34" s="485"/>
      <c r="C34" s="485"/>
      <c r="D34" s="485"/>
      <c r="E34" s="485" t="s">
        <v>169</v>
      </c>
      <c r="F34" s="485"/>
      <c r="G34" s="485"/>
      <c r="H34" s="468">
        <v>250291.11</v>
      </c>
      <c r="I34" s="402"/>
      <c r="J34" s="468"/>
      <c r="L34" s="404">
        <f t="shared" si="2"/>
        <v>250291.11</v>
      </c>
      <c r="N34" s="468"/>
    </row>
    <row r="35" spans="1:14" ht="13.5" customHeight="1" x14ac:dyDescent="0.2">
      <c r="A35" s="485"/>
      <c r="B35" s="485"/>
      <c r="C35" s="485"/>
      <c r="D35" s="485"/>
      <c r="E35" s="485" t="s">
        <v>403</v>
      </c>
      <c r="F35" s="485"/>
      <c r="G35" s="485"/>
      <c r="H35" s="468">
        <v>8116.25</v>
      </c>
      <c r="I35" s="402"/>
      <c r="J35" s="332"/>
      <c r="L35" s="404">
        <f t="shared" si="2"/>
        <v>8116.25</v>
      </c>
      <c r="N35" s="468"/>
    </row>
    <row r="36" spans="1:14" ht="13.5" customHeight="1" x14ac:dyDescent="0.2">
      <c r="A36" s="485"/>
      <c r="B36" s="485"/>
      <c r="C36" s="485"/>
      <c r="D36" s="485"/>
      <c r="E36" s="485" t="s">
        <v>404</v>
      </c>
      <c r="F36" s="485"/>
      <c r="G36" s="485"/>
      <c r="H36" s="468">
        <v>1716.52</v>
      </c>
      <c r="I36" s="402"/>
      <c r="J36" s="468"/>
      <c r="L36" s="404">
        <f t="shared" si="2"/>
        <v>1716.52</v>
      </c>
      <c r="N36" s="468"/>
    </row>
    <row r="37" spans="1:14" ht="13.5" customHeight="1" x14ac:dyDescent="0.2">
      <c r="A37" s="485"/>
      <c r="B37" s="485"/>
      <c r="C37" s="485"/>
      <c r="D37" s="485"/>
      <c r="E37" s="485" t="s">
        <v>405</v>
      </c>
      <c r="F37" s="485"/>
      <c r="G37" s="485"/>
      <c r="H37" s="468">
        <v>186.34</v>
      </c>
      <c r="I37" s="402"/>
      <c r="J37" s="468"/>
      <c r="L37" s="404">
        <f t="shared" si="2"/>
        <v>186.34</v>
      </c>
      <c r="N37" s="468"/>
    </row>
    <row r="38" spans="1:14" ht="13.5" customHeight="1" x14ac:dyDescent="0.2">
      <c r="A38" s="485"/>
      <c r="B38" s="485"/>
      <c r="C38" s="485"/>
      <c r="D38" s="485"/>
      <c r="E38" s="485" t="s">
        <v>173</v>
      </c>
      <c r="F38" s="485"/>
      <c r="G38" s="485"/>
      <c r="H38" s="468">
        <v>3390.09</v>
      </c>
      <c r="I38" s="402"/>
      <c r="J38" s="468"/>
      <c r="L38" s="404">
        <f t="shared" si="2"/>
        <v>3390.09</v>
      </c>
      <c r="N38" s="468"/>
    </row>
    <row r="39" spans="1:14" ht="13.5" customHeight="1" x14ac:dyDescent="0.2">
      <c r="A39" s="485"/>
      <c r="B39" s="485"/>
      <c r="C39" s="485"/>
      <c r="D39" s="485"/>
      <c r="E39" s="485" t="s">
        <v>174</v>
      </c>
      <c r="F39" s="485"/>
      <c r="G39" s="485"/>
      <c r="H39" s="468">
        <v>4032.18</v>
      </c>
      <c r="I39" s="402"/>
      <c r="J39" s="468"/>
      <c r="L39" s="404">
        <f t="shared" si="2"/>
        <v>4032.18</v>
      </c>
      <c r="N39" s="468"/>
    </row>
    <row r="40" spans="1:14" ht="13.5" customHeight="1" x14ac:dyDescent="0.2">
      <c r="A40" s="485"/>
      <c r="B40" s="485"/>
      <c r="C40" s="485"/>
      <c r="D40" s="485"/>
      <c r="E40" s="485" t="s">
        <v>175</v>
      </c>
      <c r="F40" s="485"/>
      <c r="G40" s="485"/>
      <c r="H40" s="468">
        <v>5755.24</v>
      </c>
      <c r="I40" s="402"/>
      <c r="J40" s="468"/>
      <c r="L40" s="404">
        <f t="shared" si="2"/>
        <v>5755.24</v>
      </c>
      <c r="N40" s="468"/>
    </row>
    <row r="41" spans="1:14" ht="13.5" customHeight="1" x14ac:dyDescent="0.2">
      <c r="A41" s="485"/>
      <c r="B41" s="485"/>
      <c r="C41" s="485"/>
      <c r="D41" s="485"/>
      <c r="E41" s="485" t="s">
        <v>176</v>
      </c>
      <c r="F41" s="485"/>
      <c r="G41" s="485"/>
      <c r="H41" s="468">
        <v>13755.74</v>
      </c>
      <c r="I41" s="402"/>
      <c r="J41" s="468"/>
      <c r="L41" s="404">
        <f t="shared" si="2"/>
        <v>13755.74</v>
      </c>
      <c r="N41" s="468"/>
    </row>
    <row r="42" spans="1:14" ht="13.5" customHeight="1" x14ac:dyDescent="0.2">
      <c r="A42" s="485"/>
      <c r="B42" s="485"/>
      <c r="C42" s="485"/>
      <c r="D42" s="485"/>
      <c r="E42" s="485" t="s">
        <v>177</v>
      </c>
      <c r="F42" s="485"/>
      <c r="G42" s="485"/>
      <c r="H42" s="468">
        <v>2722.71</v>
      </c>
      <c r="I42" s="402"/>
      <c r="J42" s="468"/>
      <c r="L42" s="404">
        <f t="shared" si="2"/>
        <v>2722.71</v>
      </c>
      <c r="N42" s="468"/>
    </row>
    <row r="43" spans="1:14" ht="13.5" customHeight="1" x14ac:dyDescent="0.2">
      <c r="A43" s="485"/>
      <c r="B43" s="485"/>
      <c r="C43" s="485"/>
      <c r="D43" s="485"/>
      <c r="E43" s="485" t="s">
        <v>406</v>
      </c>
      <c r="F43" s="485"/>
      <c r="G43" s="485"/>
      <c r="H43" s="468">
        <v>4458.72</v>
      </c>
      <c r="I43" s="402"/>
      <c r="J43" s="468"/>
      <c r="L43" s="404">
        <f t="shared" si="2"/>
        <v>4458.72</v>
      </c>
      <c r="N43" s="468"/>
    </row>
    <row r="44" spans="1:14" ht="13.5" hidden="1" customHeight="1" x14ac:dyDescent="0.2">
      <c r="A44" s="485"/>
      <c r="B44" s="485"/>
      <c r="C44" s="485"/>
      <c r="D44" s="485"/>
      <c r="E44" s="485" t="s">
        <v>407</v>
      </c>
      <c r="F44" s="485"/>
      <c r="G44" s="485"/>
      <c r="H44" s="468">
        <v>13016.69</v>
      </c>
      <c r="I44" s="402"/>
      <c r="J44" s="468"/>
      <c r="L44" s="404">
        <f t="shared" si="2"/>
        <v>13016.69</v>
      </c>
      <c r="N44" s="468"/>
    </row>
    <row r="45" spans="1:14" ht="13.5" customHeight="1" x14ac:dyDescent="0.2">
      <c r="A45" s="485"/>
      <c r="B45" s="485"/>
      <c r="C45" s="485"/>
      <c r="D45" s="485"/>
      <c r="E45" s="485" t="s">
        <v>181</v>
      </c>
      <c r="F45" s="485"/>
      <c r="G45" s="485"/>
      <c r="H45" s="468">
        <v>7655.51</v>
      </c>
      <c r="I45" s="402"/>
      <c r="J45" s="468"/>
      <c r="L45" s="404">
        <f t="shared" si="2"/>
        <v>7655.51</v>
      </c>
      <c r="N45" s="468"/>
    </row>
    <row r="46" spans="1:14" ht="13.5" customHeight="1" x14ac:dyDescent="0.2">
      <c r="A46" s="485"/>
      <c r="B46" s="485"/>
      <c r="C46" s="485"/>
      <c r="D46" s="485"/>
      <c r="E46" s="485" t="s">
        <v>183</v>
      </c>
      <c r="F46" s="485"/>
      <c r="G46" s="485"/>
      <c r="H46" s="468">
        <v>11569.84</v>
      </c>
      <c r="I46" s="402"/>
      <c r="J46" s="468"/>
      <c r="L46" s="404">
        <f t="shared" si="2"/>
        <v>11569.84</v>
      </c>
      <c r="N46" s="468"/>
    </row>
    <row r="47" spans="1:14" ht="15.75" customHeight="1" thickBot="1" x14ac:dyDescent="0.25">
      <c r="A47" s="485"/>
      <c r="B47" s="485"/>
      <c r="C47" s="485"/>
      <c r="D47" s="485"/>
      <c r="E47" s="485" t="s">
        <v>184</v>
      </c>
      <c r="F47" s="485"/>
      <c r="G47" s="485"/>
      <c r="H47" s="467">
        <v>84116.26</v>
      </c>
      <c r="I47" s="402"/>
      <c r="J47" s="313"/>
      <c r="L47" s="408">
        <f t="shared" si="2"/>
        <v>84116.26</v>
      </c>
      <c r="N47" s="467"/>
    </row>
    <row r="48" spans="1:14" x14ac:dyDescent="0.2">
      <c r="A48" s="485"/>
      <c r="B48" s="485"/>
      <c r="C48" s="485"/>
      <c r="D48" s="485" t="s">
        <v>73</v>
      </c>
      <c r="E48" s="485"/>
      <c r="F48" s="485"/>
      <c r="G48" s="485"/>
      <c r="H48" s="315">
        <f>ROUND(SUM(H32:H47),5)</f>
        <v>410839.55</v>
      </c>
      <c r="I48" s="406"/>
      <c r="J48" s="403">
        <f>SUM(J34:J47)</f>
        <v>0</v>
      </c>
      <c r="L48" s="411">
        <f>SUM(L33:L47)</f>
        <v>410839.55</v>
      </c>
    </row>
    <row r="49" spans="1:12" ht="17.25" customHeight="1" x14ac:dyDescent="0.2">
      <c r="A49" s="485"/>
      <c r="B49" s="485"/>
      <c r="C49" s="485"/>
      <c r="D49" s="485"/>
      <c r="E49" s="485"/>
      <c r="F49" s="485" t="s">
        <v>493</v>
      </c>
      <c r="G49" s="485"/>
      <c r="H49" s="551">
        <f>+H30-H48</f>
        <v>-53907.859999999986</v>
      </c>
      <c r="I49" s="409"/>
      <c r="J49" s="409">
        <f>+J30-J48</f>
        <v>-8522.589999999982</v>
      </c>
      <c r="K49" s="412"/>
      <c r="L49" s="409">
        <f>+L30-L48</f>
        <v>-62430.449999999953</v>
      </c>
    </row>
    <row r="50" spans="1:12" ht="9.75" customHeight="1" x14ac:dyDescent="0.2">
      <c r="A50" s="617" t="s">
        <v>494</v>
      </c>
      <c r="B50" s="617"/>
      <c r="C50" s="617"/>
      <c r="D50" s="617"/>
      <c r="E50" s="617"/>
      <c r="F50" s="617"/>
      <c r="G50" s="618"/>
      <c r="H50" s="553">
        <v>3000</v>
      </c>
      <c r="J50" s="403">
        <v>-3000</v>
      </c>
      <c r="L50" s="409">
        <f>SUM(H50:J50)</f>
        <v>0</v>
      </c>
    </row>
    <row r="51" spans="1:12" ht="16.5" customHeight="1" thickBot="1" x14ac:dyDescent="0.25">
      <c r="C51" s="485" t="s">
        <v>495</v>
      </c>
      <c r="H51" s="554">
        <f>'[1]YTD Summary Stmt of Actv.'!V15</f>
        <v>47269.030000000021</v>
      </c>
      <c r="I51" s="410"/>
      <c r="J51" s="413">
        <f>'[1]YTD Summary Stmt of Actv.'!AB15</f>
        <v>190160.55</v>
      </c>
      <c r="K51" s="410"/>
      <c r="L51" s="414">
        <f>SUM(H51:J51)</f>
        <v>237429.58000000002</v>
      </c>
    </row>
    <row r="52" spans="1:12" x14ac:dyDescent="0.2">
      <c r="C52" s="485"/>
      <c r="H52" s="551"/>
      <c r="I52" s="410"/>
      <c r="J52" s="409"/>
      <c r="K52" s="410"/>
      <c r="L52" s="412"/>
    </row>
    <row r="53" spans="1:12" ht="12" thickBot="1" x14ac:dyDescent="0.25">
      <c r="C53" s="463" t="s">
        <v>496</v>
      </c>
      <c r="H53" s="555">
        <f>SUM(H49:H51)</f>
        <v>-3638.8299999999654</v>
      </c>
      <c r="I53" s="410"/>
      <c r="J53" s="492">
        <f>SUM(J49:J51)</f>
        <v>178637.96000000002</v>
      </c>
      <c r="K53" s="410"/>
      <c r="L53" s="492">
        <f>SUM(L49:L51)</f>
        <v>174999.13000000006</v>
      </c>
    </row>
    <row r="54" spans="1:12" ht="12" thickTop="1" x14ac:dyDescent="0.2">
      <c r="H54" s="556"/>
    </row>
  </sheetData>
  <mergeCells count="1">
    <mergeCell ref="A50:G50"/>
  </mergeCells>
  <pageMargins left="0.45" right="0.45" top="0.85" bottom="0" header="0.1" footer="0.3"/>
  <pageSetup scale="85" orientation="portrait" horizontalDpi="4294967293" verticalDpi="4294967293" r:id="rId1"/>
  <headerFooter>
    <oddHeader xml:space="preserve">&amp;C&amp;"Arial,Bold"&amp;12 League of Women Voters of California Education Fund
&amp;14 Statement of Activities
&amp;9July - January 2019&amp;10
</oddHeader>
    <oddFooter>&amp;R&amp;"Arial,Bold"&amp;8 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00"/>
  <sheetViews>
    <sheetView topLeftCell="A4" zoomScaleNormal="100" workbookViewId="0">
      <selection activeCell="G12" sqref="G12"/>
    </sheetView>
  </sheetViews>
  <sheetFormatPr defaultRowHeight="15" x14ac:dyDescent="0.25"/>
  <cols>
    <col min="1" max="1" width="33.140625" customWidth="1"/>
    <col min="2" max="2" width="11.85546875" customWidth="1"/>
    <col min="3" max="3" width="14" customWidth="1"/>
    <col min="4" max="4" width="15.28515625" customWidth="1"/>
    <col min="5" max="5" width="10.7109375" customWidth="1"/>
    <col min="6" max="6" width="10.28515625" customWidth="1"/>
    <col min="7" max="7" width="10.5703125" customWidth="1"/>
    <col min="8" max="8" width="11.140625" customWidth="1"/>
    <col min="9" max="9" width="11.85546875" customWidth="1"/>
    <col min="10" max="10" width="11.140625" customWidth="1"/>
    <col min="11" max="11" width="15.42578125" customWidth="1"/>
    <col min="12" max="12" width="10.85546875" bestFit="1" customWidth="1"/>
    <col min="13" max="13" width="29.42578125" customWidth="1"/>
    <col min="14" max="15" width="12.140625" customWidth="1"/>
    <col min="16" max="18" width="11.85546875" customWidth="1"/>
    <col min="21" max="21" width="11.42578125" customWidth="1"/>
    <col min="22" max="22" width="13.28515625" customWidth="1"/>
    <col min="23" max="23" width="13.7109375" customWidth="1"/>
  </cols>
  <sheetData>
    <row r="1" spans="1:15" x14ac:dyDescent="0.25">
      <c r="A1" s="105" t="s">
        <v>68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</row>
    <row r="2" spans="1:15" ht="15.75" thickBot="1" x14ac:dyDescent="0.3">
      <c r="A2" s="9" t="s">
        <v>513</v>
      </c>
      <c r="B2" s="6"/>
      <c r="C2" s="6"/>
      <c r="D2" s="6"/>
      <c r="E2" s="6"/>
      <c r="F2" s="6"/>
      <c r="G2" s="462"/>
      <c r="H2" s="462"/>
      <c r="I2" s="462"/>
      <c r="J2" s="462"/>
      <c r="K2" s="462"/>
      <c r="L2" s="462"/>
      <c r="M2" s="462"/>
      <c r="N2" s="462"/>
      <c r="O2" s="462"/>
    </row>
    <row r="3" spans="1:15" ht="30.75" thickBot="1" x14ac:dyDescent="0.3">
      <c r="A3" s="11" t="s">
        <v>69</v>
      </c>
      <c r="B3" s="290" t="s">
        <v>56</v>
      </c>
      <c r="C3" s="289" t="s">
        <v>70</v>
      </c>
      <c r="D3" s="288" t="s">
        <v>71</v>
      </c>
      <c r="E3" s="14" t="s">
        <v>72</v>
      </c>
      <c r="F3" s="244"/>
      <c r="G3" s="462"/>
      <c r="H3" s="462"/>
      <c r="I3" s="462"/>
      <c r="J3" s="462"/>
      <c r="K3" s="462"/>
      <c r="L3" s="462"/>
      <c r="M3" s="462"/>
      <c r="N3" s="462"/>
      <c r="O3" s="462"/>
    </row>
    <row r="4" spans="1:15" x14ac:dyDescent="0.25">
      <c r="A4" s="107" t="s">
        <v>7</v>
      </c>
      <c r="B4" s="25">
        <v>464144</v>
      </c>
      <c r="C4" s="24">
        <f>'LWVC-Stmt of Act. by Class'!DF15</f>
        <v>422692.95</v>
      </c>
      <c r="D4" s="287">
        <f t="shared" ref="D4:D9" si="0">C4-B4</f>
        <v>-41451.049999999988</v>
      </c>
      <c r="E4" s="108">
        <f>+C4/B4</f>
        <v>0.91069355631011073</v>
      </c>
      <c r="F4" s="285"/>
      <c r="G4" s="286">
        <f>12/11</f>
        <v>1.0909090909090908</v>
      </c>
      <c r="H4" s="462"/>
      <c r="I4" s="462"/>
      <c r="J4" s="462"/>
      <c r="K4" s="462"/>
      <c r="L4" s="462"/>
      <c r="M4" s="462"/>
      <c r="N4" s="462"/>
      <c r="O4" s="462"/>
    </row>
    <row r="5" spans="1:15" x14ac:dyDescent="0.25">
      <c r="A5" s="107"/>
      <c r="B5" s="25"/>
      <c r="C5" s="24"/>
      <c r="D5" s="89"/>
      <c r="E5" s="108"/>
      <c r="F5" s="285"/>
      <c r="G5" s="286"/>
      <c r="H5" s="462"/>
      <c r="I5" s="462"/>
      <c r="J5" s="462"/>
      <c r="K5" s="462"/>
      <c r="L5" s="462"/>
      <c r="M5" s="462"/>
      <c r="N5" s="462"/>
      <c r="O5" s="462"/>
    </row>
    <row r="6" spans="1:15" ht="15.75" thickBot="1" x14ac:dyDescent="0.3">
      <c r="A6" s="32" t="s">
        <v>9</v>
      </c>
      <c r="B6" s="284">
        <f>+B5+B4</f>
        <v>464144</v>
      </c>
      <c r="C6" s="324">
        <f>SUM(C4:C5)</f>
        <v>422692.95</v>
      </c>
      <c r="D6" s="91">
        <f t="shared" si="0"/>
        <v>-41451.049999999988</v>
      </c>
      <c r="E6" s="108">
        <f>+C6/B6</f>
        <v>0.91069355631011073</v>
      </c>
      <c r="F6" s="285"/>
      <c r="G6" s="286"/>
      <c r="H6" s="462"/>
      <c r="I6" s="462"/>
      <c r="J6" s="462"/>
      <c r="K6" s="462"/>
      <c r="L6" s="462"/>
      <c r="M6" s="462"/>
      <c r="N6" s="462"/>
      <c r="O6" s="462"/>
    </row>
    <row r="7" spans="1:15" x14ac:dyDescent="0.25">
      <c r="A7" s="32" t="s">
        <v>73</v>
      </c>
      <c r="B7" s="25">
        <v>459967</v>
      </c>
      <c r="C7" s="24">
        <f>K49</f>
        <v>426323.27</v>
      </c>
      <c r="D7" s="89">
        <f t="shared" si="0"/>
        <v>-33643.729999999981</v>
      </c>
      <c r="E7" s="108">
        <f>+C7/B7</f>
        <v>0.92685620924979406</v>
      </c>
      <c r="F7" s="285"/>
      <c r="G7" s="283"/>
      <c r="H7" s="462"/>
      <c r="I7" s="462"/>
      <c r="J7" s="462"/>
      <c r="K7" s="462"/>
      <c r="L7" s="462"/>
      <c r="M7" s="462"/>
      <c r="N7" s="462"/>
      <c r="O7" s="462"/>
    </row>
    <row r="8" spans="1:15" s="400" customFormat="1" x14ac:dyDescent="0.25">
      <c r="A8" s="32" t="s">
        <v>74</v>
      </c>
      <c r="B8" s="25"/>
      <c r="C8" s="24">
        <v>0</v>
      </c>
      <c r="D8" s="89">
        <f t="shared" si="0"/>
        <v>0</v>
      </c>
      <c r="E8" s="108"/>
      <c r="F8" s="285"/>
      <c r="G8" s="283"/>
      <c r="H8" s="462"/>
      <c r="I8" s="462"/>
      <c r="J8" s="462"/>
      <c r="K8" s="462"/>
      <c r="L8" s="462"/>
      <c r="M8" s="462"/>
      <c r="N8" s="462"/>
      <c r="O8" s="462"/>
    </row>
    <row r="9" spans="1:15" ht="15.75" thickBot="1" x14ac:dyDescent="0.3">
      <c r="A9" s="110" t="s">
        <v>15</v>
      </c>
      <c r="B9" s="284">
        <f>+B6-B7</f>
        <v>4177</v>
      </c>
      <c r="C9" s="324">
        <f>+C6-C7-C8</f>
        <v>-3630.320000000007</v>
      </c>
      <c r="D9" s="91">
        <f t="shared" si="0"/>
        <v>-7807.320000000007</v>
      </c>
      <c r="E9" s="112"/>
      <c r="F9" s="2"/>
      <c r="G9" s="283"/>
      <c r="H9" s="462"/>
      <c r="I9" s="462"/>
      <c r="J9" s="462"/>
      <c r="K9" s="462"/>
      <c r="L9" s="462"/>
      <c r="M9" s="462"/>
      <c r="N9" s="462"/>
      <c r="O9" s="462"/>
    </row>
    <row r="10" spans="1:15" x14ac:dyDescent="0.25">
      <c r="A10" s="21"/>
      <c r="B10" s="282"/>
      <c r="C10" s="103"/>
      <c r="D10" s="22"/>
      <c r="E10" s="20"/>
      <c r="F10" s="2"/>
      <c r="G10" s="462"/>
      <c r="H10" s="462"/>
      <c r="I10" s="462"/>
      <c r="J10" s="462"/>
      <c r="K10" s="462"/>
      <c r="L10" s="462"/>
      <c r="M10" s="462"/>
      <c r="N10" s="462"/>
      <c r="O10" s="462"/>
    </row>
    <row r="11" spans="1:15" x14ac:dyDescent="0.25">
      <c r="A11" s="21" t="s">
        <v>75</v>
      </c>
      <c r="B11" s="31">
        <v>227786</v>
      </c>
      <c r="C11" s="49">
        <f>B11</f>
        <v>227786</v>
      </c>
      <c r="D11" s="22"/>
      <c r="E11" s="20"/>
      <c r="F11" s="6"/>
      <c r="G11" s="462"/>
      <c r="H11" s="462"/>
      <c r="I11" s="462"/>
      <c r="J11" s="462"/>
      <c r="K11" s="92"/>
      <c r="L11" s="92"/>
      <c r="M11" s="92"/>
      <c r="N11" s="92"/>
      <c r="O11" s="92"/>
    </row>
    <row r="12" spans="1:15" x14ac:dyDescent="0.25">
      <c r="A12" s="21" t="s">
        <v>76</v>
      </c>
      <c r="B12" s="23">
        <f>+B11+B9</f>
        <v>231963</v>
      </c>
      <c r="C12" s="24">
        <f>+C11+C9</f>
        <v>224155.68</v>
      </c>
      <c r="D12" s="22"/>
      <c r="E12" s="20"/>
      <c r="F12" s="41"/>
      <c r="G12" s="462"/>
      <c r="H12" s="462"/>
      <c r="I12" s="462"/>
      <c r="J12" s="462"/>
      <c r="K12" s="92"/>
      <c r="L12" s="281"/>
      <c r="M12" s="281"/>
      <c r="N12" s="92"/>
      <c r="O12" s="92"/>
    </row>
    <row r="13" spans="1:15" x14ac:dyDescent="0.25">
      <c r="A13" s="21"/>
      <c r="B13" s="29"/>
      <c r="C13" s="50"/>
      <c r="D13" s="22"/>
      <c r="E13" s="20"/>
      <c r="F13" s="6"/>
      <c r="G13" s="462"/>
      <c r="H13" s="462"/>
      <c r="I13" s="462"/>
      <c r="J13" s="462"/>
      <c r="K13" s="92"/>
      <c r="L13" s="92"/>
      <c r="M13" s="92"/>
      <c r="N13" s="92"/>
      <c r="O13" s="92"/>
    </row>
    <row r="14" spans="1:15" x14ac:dyDescent="0.25">
      <c r="A14" s="32" t="s">
        <v>18</v>
      </c>
      <c r="B14" s="29"/>
      <c r="C14" s="50"/>
      <c r="D14" s="22"/>
      <c r="E14" s="7"/>
      <c r="F14" s="6"/>
      <c r="G14" s="462"/>
      <c r="H14" s="462"/>
      <c r="I14" s="462"/>
      <c r="J14" s="462"/>
      <c r="K14" s="462"/>
      <c r="L14" s="462"/>
      <c r="M14" s="462"/>
      <c r="N14" s="462"/>
      <c r="O14" s="462"/>
    </row>
    <row r="15" spans="1:15" x14ac:dyDescent="0.25">
      <c r="A15" s="107" t="s">
        <v>77</v>
      </c>
      <c r="B15" s="23">
        <v>177940</v>
      </c>
      <c r="C15" s="497">
        <f>'LWVC-Stmt of Fin. Postn. by Mth'!AD83+'LWVC-Stmt of Fin. Postn. by Mth'!AD84</f>
        <v>160112.41999999998</v>
      </c>
      <c r="D15" s="496" t="s">
        <v>78</v>
      </c>
      <c r="E15" s="7"/>
      <c r="F15" s="6"/>
      <c r="G15" s="462"/>
      <c r="H15" s="462"/>
      <c r="I15" s="462"/>
      <c r="J15" s="462"/>
      <c r="K15" s="462"/>
      <c r="L15" s="462"/>
      <c r="M15" s="462"/>
      <c r="N15" s="462"/>
      <c r="O15" s="462"/>
    </row>
    <row r="16" spans="1:15" x14ac:dyDescent="0.25">
      <c r="A16" s="107" t="s">
        <v>58</v>
      </c>
      <c r="B16" s="23">
        <v>0</v>
      </c>
      <c r="C16" s="24">
        <v>0</v>
      </c>
      <c r="D16" s="22"/>
      <c r="E16" s="7"/>
      <c r="F16" s="6"/>
      <c r="G16" s="462"/>
      <c r="H16" s="462"/>
      <c r="I16" s="462"/>
      <c r="J16" s="462"/>
      <c r="K16" s="462"/>
      <c r="L16" s="462"/>
      <c r="M16" s="462"/>
      <c r="N16" s="462"/>
      <c r="O16" s="462"/>
    </row>
    <row r="17" spans="1:15" x14ac:dyDescent="0.25">
      <c r="A17" s="107" t="s">
        <v>38</v>
      </c>
      <c r="B17" s="23">
        <v>54023</v>
      </c>
      <c r="C17" s="24">
        <f>'LWVC-Stmt of Fin. Postn. by Mth'!AD83</f>
        <v>21639.27</v>
      </c>
      <c r="D17" s="22"/>
      <c r="E17" s="7"/>
      <c r="F17" s="6"/>
      <c r="G17" s="462"/>
      <c r="H17" s="462"/>
      <c r="I17" s="462"/>
      <c r="J17" s="462"/>
      <c r="K17" s="462"/>
      <c r="L17" s="462"/>
      <c r="M17" s="462"/>
      <c r="N17" s="462"/>
      <c r="O17" s="462"/>
    </row>
    <row r="18" spans="1:15" x14ac:dyDescent="0.25">
      <c r="A18" s="107" t="s">
        <v>79</v>
      </c>
      <c r="B18" s="23">
        <v>0</v>
      </c>
      <c r="C18" s="24"/>
      <c r="D18" s="22"/>
      <c r="E18" s="7"/>
      <c r="F18" s="6"/>
      <c r="G18" s="462"/>
      <c r="H18" s="462"/>
      <c r="I18" s="462"/>
      <c r="J18" s="462"/>
      <c r="K18" s="281"/>
      <c r="L18" s="281"/>
      <c r="M18" s="281"/>
      <c r="N18" s="281"/>
      <c r="O18" s="281"/>
    </row>
    <row r="19" spans="1:15" ht="15.75" thickBot="1" x14ac:dyDescent="0.3">
      <c r="A19" s="110" t="s">
        <v>80</v>
      </c>
      <c r="B19" s="303"/>
      <c r="C19" s="111">
        <f>+C12-C15-C16-C17-C18</f>
        <v>42403.990000000005</v>
      </c>
      <c r="D19" s="22"/>
      <c r="E19" s="20"/>
      <c r="F19" s="6"/>
      <c r="G19" s="462"/>
      <c r="H19" s="462"/>
      <c r="I19" s="462"/>
      <c r="J19" s="462"/>
      <c r="K19" s="462"/>
      <c r="L19" s="462"/>
      <c r="M19" s="462"/>
      <c r="N19" s="462"/>
      <c r="O19" s="462"/>
    </row>
    <row r="20" spans="1:15" x14ac:dyDescent="0.25">
      <c r="A20" s="7"/>
      <c r="B20" s="22"/>
      <c r="C20" s="25"/>
      <c r="D20" s="25"/>
      <c r="E20" s="6"/>
      <c r="F20" s="7"/>
      <c r="G20" s="401"/>
      <c r="H20" s="462"/>
      <c r="I20" s="462"/>
      <c r="J20" s="462"/>
      <c r="K20" s="462"/>
      <c r="L20" s="462"/>
      <c r="M20" s="462"/>
      <c r="N20" s="462"/>
      <c r="O20" s="462"/>
    </row>
    <row r="21" spans="1:15" ht="15.75" thickBot="1" x14ac:dyDescent="0.3">
      <c r="A21" s="401"/>
      <c r="B21" s="121"/>
      <c r="C21" s="58"/>
      <c r="D21" s="58"/>
      <c r="E21" s="462"/>
      <c r="F21" s="401"/>
      <c r="G21" s="401"/>
      <c r="H21" s="462"/>
      <c r="I21" s="462"/>
      <c r="J21" s="462"/>
      <c r="K21" s="462"/>
      <c r="L21" s="462"/>
      <c r="M21" s="462"/>
      <c r="N21" s="462"/>
      <c r="O21" s="462"/>
    </row>
    <row r="22" spans="1:15" ht="29.25" customHeight="1" thickBot="1" x14ac:dyDescent="0.3">
      <c r="A22" s="280" t="s">
        <v>81</v>
      </c>
      <c r="B22" s="161" t="s">
        <v>56</v>
      </c>
      <c r="C22" s="163" t="s">
        <v>70</v>
      </c>
      <c r="D22" s="161" t="s">
        <v>50</v>
      </c>
      <c r="E22" s="279" t="s">
        <v>72</v>
      </c>
      <c r="F22" s="278" t="s">
        <v>82</v>
      </c>
      <c r="G22" s="277" t="s">
        <v>83</v>
      </c>
      <c r="H22" s="462"/>
      <c r="I22" s="462"/>
      <c r="J22" s="462"/>
      <c r="K22" s="462"/>
      <c r="L22" s="462"/>
      <c r="M22" s="462"/>
      <c r="N22" s="462"/>
      <c r="O22" s="462"/>
    </row>
    <row r="23" spans="1:15" x14ac:dyDescent="0.25">
      <c r="A23" s="125" t="s">
        <v>84</v>
      </c>
      <c r="B23" s="84">
        <v>188894</v>
      </c>
      <c r="C23" s="22">
        <f>'LWVC-Stmt of Act. by Class'!DF6</f>
        <v>191012.07</v>
      </c>
      <c r="D23" s="272">
        <f t="shared" ref="D23:D28" si="1">+C23-B23</f>
        <v>2118.070000000007</v>
      </c>
      <c r="E23" s="271">
        <f t="shared" ref="E23:E29" si="2">+C23/B23</f>
        <v>1.0112130083538917</v>
      </c>
      <c r="F23" s="267">
        <f>E23-B23</f>
        <v>-188892.98878699166</v>
      </c>
      <c r="G23" s="266">
        <f>E23/B23</f>
        <v>5.3533357774936827E-6</v>
      </c>
      <c r="H23" s="462"/>
      <c r="I23" s="462"/>
      <c r="J23" s="462"/>
      <c r="K23" s="462"/>
      <c r="L23" s="462"/>
      <c r="M23" s="462"/>
      <c r="N23" s="462"/>
      <c r="O23" s="462"/>
    </row>
    <row r="24" spans="1:15" x14ac:dyDescent="0.25">
      <c r="A24" s="125" t="s">
        <v>85</v>
      </c>
      <c r="B24" s="273">
        <f>122500-25000</f>
        <v>97500</v>
      </c>
      <c r="C24" s="126">
        <f>'LWVC-Stmt of Act. by Class'!DF7</f>
        <v>104062.3</v>
      </c>
      <c r="D24" s="272">
        <f t="shared" si="1"/>
        <v>6562.3000000000029</v>
      </c>
      <c r="E24" s="271">
        <f t="shared" si="2"/>
        <v>1.067305641025641</v>
      </c>
      <c r="F24" s="267">
        <f>E24-B24</f>
        <v>-97498.932694358969</v>
      </c>
      <c r="G24" s="266">
        <f>E24/B24</f>
        <v>1.0946724523339907E-5</v>
      </c>
      <c r="H24" s="462"/>
      <c r="I24" s="462"/>
      <c r="J24" s="462"/>
      <c r="K24" s="462"/>
      <c r="L24" s="462"/>
      <c r="M24" s="462"/>
      <c r="N24" s="462"/>
      <c r="O24" s="462"/>
    </row>
    <row r="25" spans="1:15" x14ac:dyDescent="0.25">
      <c r="A25" s="125" t="s">
        <v>86</v>
      </c>
      <c r="B25" s="273">
        <v>5750</v>
      </c>
      <c r="C25" s="126">
        <v>0</v>
      </c>
      <c r="D25" s="272">
        <f t="shared" si="1"/>
        <v>-5750</v>
      </c>
      <c r="E25" s="271">
        <f t="shared" si="2"/>
        <v>0</v>
      </c>
      <c r="F25" s="267"/>
      <c r="G25" s="266"/>
      <c r="H25" s="462"/>
      <c r="I25" s="462"/>
      <c r="J25" s="462"/>
      <c r="K25" s="462"/>
      <c r="L25" s="462"/>
      <c r="M25" s="462"/>
      <c r="N25" s="462"/>
      <c r="O25" s="462"/>
    </row>
    <row r="26" spans="1:15" x14ac:dyDescent="0.25">
      <c r="A26" s="125" t="s">
        <v>87</v>
      </c>
      <c r="B26" s="273">
        <v>25000</v>
      </c>
      <c r="C26" s="126">
        <f>'LWVC-Stmt of Act. by Class'!DH13</f>
        <v>0</v>
      </c>
      <c r="D26" s="272">
        <f t="shared" si="1"/>
        <v>-25000</v>
      </c>
      <c r="E26" s="271">
        <f t="shared" si="2"/>
        <v>0</v>
      </c>
      <c r="F26" s="267">
        <f>E26-B26</f>
        <v>-25000</v>
      </c>
      <c r="G26" s="266"/>
      <c r="H26" s="462"/>
      <c r="I26" s="462"/>
      <c r="J26" s="462"/>
      <c r="K26" s="462"/>
      <c r="L26" s="462"/>
      <c r="M26" s="462"/>
      <c r="N26" s="462"/>
      <c r="O26" s="462"/>
    </row>
    <row r="27" spans="1:15" x14ac:dyDescent="0.25">
      <c r="A27" s="125" t="s">
        <v>88</v>
      </c>
      <c r="B27" s="273">
        <v>144900</v>
      </c>
      <c r="C27" s="33">
        <f>'LWVC-Stmt of Act. by Class'!DF8</f>
        <v>125402.08</v>
      </c>
      <c r="D27" s="272">
        <f t="shared" si="1"/>
        <v>-19497.919999999998</v>
      </c>
      <c r="E27" s="271">
        <f t="shared" si="2"/>
        <v>0.86543878536922014</v>
      </c>
      <c r="F27" s="267">
        <f>E27-B27</f>
        <v>-144899.13456121463</v>
      </c>
      <c r="G27" s="266">
        <f>E27/B27</f>
        <v>5.9726624249083519E-6</v>
      </c>
      <c r="H27" s="462"/>
      <c r="I27" s="462"/>
      <c r="J27" s="462"/>
      <c r="K27" s="462"/>
      <c r="L27" s="462"/>
      <c r="M27" s="462"/>
      <c r="N27" s="462"/>
      <c r="O27" s="462"/>
    </row>
    <row r="28" spans="1:15" x14ac:dyDescent="0.25">
      <c r="A28" s="125" t="s">
        <v>89</v>
      </c>
      <c r="B28" s="273">
        <v>2100</v>
      </c>
      <c r="C28" s="33">
        <f>'LWVC-Stmt of Act. by Class'!DF9+'LWVC-Stmt of Act. by Class'!DF10</f>
        <v>2556.91</v>
      </c>
      <c r="D28" s="272">
        <f t="shared" si="1"/>
        <v>456.90999999999985</v>
      </c>
      <c r="E28" s="271">
        <f t="shared" si="2"/>
        <v>1.2175761904761904</v>
      </c>
      <c r="F28" s="267"/>
      <c r="G28" s="266"/>
      <c r="H28" s="137"/>
      <c r="I28" s="135"/>
      <c r="J28" s="135"/>
      <c r="K28" s="401"/>
      <c r="L28" s="401"/>
      <c r="M28" s="401"/>
      <c r="N28" s="401"/>
      <c r="O28" s="401"/>
    </row>
    <row r="29" spans="1:15" ht="15.75" thickBot="1" x14ac:dyDescent="0.3">
      <c r="A29" s="128" t="s">
        <v>90</v>
      </c>
      <c r="B29" s="276">
        <f>SUM(B23:B28)</f>
        <v>464144</v>
      </c>
      <c r="C29" s="68">
        <f>SUM(C23:C28)</f>
        <v>423033.36</v>
      </c>
      <c r="D29" s="275">
        <f>SUM(D23:D28)</f>
        <v>-41110.639999999985</v>
      </c>
      <c r="E29" s="274">
        <f t="shared" si="2"/>
        <v>0.91142697094005309</v>
      </c>
      <c r="F29" s="267">
        <f>E29-B29</f>
        <v>-464143.08857302903</v>
      </c>
      <c r="G29" s="266">
        <f>E29/B29</f>
        <v>1.9636728492451762E-6</v>
      </c>
      <c r="H29" s="137"/>
      <c r="I29" s="135"/>
      <c r="J29" s="135"/>
      <c r="K29" s="401"/>
      <c r="L29" s="401"/>
      <c r="M29" s="401"/>
      <c r="N29" s="401"/>
      <c r="O29" s="401"/>
    </row>
    <row r="30" spans="1:15" ht="21.75" customHeight="1" thickTop="1" x14ac:dyDescent="0.25">
      <c r="A30" s="125"/>
      <c r="B30" s="273"/>
      <c r="C30" s="33"/>
      <c r="D30" s="272"/>
      <c r="E30" s="271"/>
      <c r="F30" s="267"/>
      <c r="G30" s="266"/>
      <c r="H30" s="616"/>
      <c r="I30" s="616"/>
      <c r="J30" s="616"/>
      <c r="K30" s="616"/>
      <c r="L30" s="616"/>
      <c r="M30" s="549"/>
      <c r="N30" s="401"/>
      <c r="O30" s="401"/>
    </row>
    <row r="31" spans="1:15" ht="15.75" thickBot="1" x14ac:dyDescent="0.3">
      <c r="A31" s="158" t="s">
        <v>91</v>
      </c>
      <c r="B31" s="270">
        <f>B30+B29</f>
        <v>464144</v>
      </c>
      <c r="C31" s="61">
        <f>+C30+C29</f>
        <v>423033.36</v>
      </c>
      <c r="D31" s="269">
        <f>SUM(D29:D30)</f>
        <v>-41110.639999999985</v>
      </c>
      <c r="E31" s="268">
        <f>+C31/B31</f>
        <v>0.91142697094005309</v>
      </c>
      <c r="F31" s="267">
        <f>E31-B31</f>
        <v>-464143.08857302903</v>
      </c>
      <c r="G31" s="266">
        <f>E31/B31</f>
        <v>1.9636728492451762E-6</v>
      </c>
      <c r="H31" s="265"/>
      <c r="I31" s="135"/>
      <c r="J31" s="135"/>
      <c r="K31" s="401"/>
      <c r="L31" s="401"/>
      <c r="M31" s="401"/>
      <c r="N31" s="401"/>
      <c r="O31" s="401"/>
    </row>
    <row r="32" spans="1:15" x14ac:dyDescent="0.25">
      <c r="A32" s="401"/>
      <c r="B32" s="121"/>
      <c r="C32" s="58"/>
      <c r="D32" s="58"/>
      <c r="E32" s="462"/>
      <c r="F32" s="401"/>
      <c r="G32" s="401"/>
      <c r="H32" s="462"/>
      <c r="I32" s="135"/>
      <c r="J32" s="135"/>
      <c r="K32" s="401"/>
      <c r="L32" s="401"/>
      <c r="M32" s="401"/>
      <c r="N32" s="401"/>
      <c r="O32" s="401"/>
    </row>
    <row r="33" spans="1:12" ht="29.25" customHeight="1" thickBot="1" x14ac:dyDescent="0.3">
      <c r="A33" s="173" t="s">
        <v>92</v>
      </c>
      <c r="B33" s="462"/>
      <c r="C33" s="462"/>
      <c r="D33" s="462"/>
      <c r="E33" s="462"/>
      <c r="F33" s="462"/>
      <c r="G33" s="462"/>
      <c r="H33" s="462"/>
      <c r="I33" s="462"/>
      <c r="J33" s="462"/>
      <c r="K33" s="462"/>
      <c r="L33" s="462"/>
    </row>
    <row r="34" spans="1:12" x14ac:dyDescent="0.25">
      <c r="A34" s="234" t="s">
        <v>93</v>
      </c>
      <c r="B34" s="612" t="s">
        <v>94</v>
      </c>
      <c r="C34" s="612"/>
      <c r="D34" s="612"/>
      <c r="E34" s="612"/>
      <c r="F34" s="612" t="s">
        <v>95</v>
      </c>
      <c r="G34" s="612"/>
      <c r="H34" s="612"/>
      <c r="I34" s="612"/>
      <c r="J34" s="612"/>
      <c r="K34" s="615"/>
      <c r="L34" s="462"/>
    </row>
    <row r="35" spans="1:12" ht="29.25" customHeight="1" x14ac:dyDescent="0.25">
      <c r="A35" s="90"/>
      <c r="B35" s="245" t="s">
        <v>96</v>
      </c>
      <c r="C35" s="245" t="s">
        <v>97</v>
      </c>
      <c r="D35" s="245" t="s">
        <v>98</v>
      </c>
      <c r="E35" s="119" t="s">
        <v>99</v>
      </c>
      <c r="F35" s="245" t="s">
        <v>100</v>
      </c>
      <c r="G35" s="245" t="s">
        <v>101</v>
      </c>
      <c r="H35" s="245" t="s">
        <v>102</v>
      </c>
      <c r="I35" s="245" t="s">
        <v>103</v>
      </c>
      <c r="J35" s="119" t="s">
        <v>104</v>
      </c>
      <c r="K35" s="183" t="s">
        <v>105</v>
      </c>
      <c r="L35" s="462"/>
    </row>
    <row r="36" spans="1:12" x14ac:dyDescent="0.25">
      <c r="A36" s="90" t="s">
        <v>106</v>
      </c>
      <c r="B36" s="153">
        <v>11222</v>
      </c>
      <c r="C36" s="121">
        <v>21729</v>
      </c>
      <c r="D36" s="121">
        <v>47943</v>
      </c>
      <c r="E36" s="121">
        <f>SUM(B36:D36)</f>
        <v>80894</v>
      </c>
      <c r="F36" s="121">
        <v>19519</v>
      </c>
      <c r="G36" s="121">
        <v>3199</v>
      </c>
      <c r="H36" s="121">
        <v>45047</v>
      </c>
      <c r="I36" s="121">
        <v>144331</v>
      </c>
      <c r="J36" s="121">
        <f>SUM(F36:I36)</f>
        <v>212096</v>
      </c>
      <c r="K36" s="69">
        <f>+J36+E36</f>
        <v>292990</v>
      </c>
      <c r="L36" s="462"/>
    </row>
    <row r="37" spans="1:12" x14ac:dyDescent="0.25">
      <c r="A37" s="90" t="s">
        <v>107</v>
      </c>
      <c r="B37" s="126">
        <v>15008</v>
      </c>
      <c r="C37" s="59">
        <v>2020</v>
      </c>
      <c r="D37" s="59">
        <v>533</v>
      </c>
      <c r="E37" s="59">
        <f>SUM(B37:D37)</f>
        <v>17561</v>
      </c>
      <c r="F37" s="59">
        <v>5515</v>
      </c>
      <c r="G37" s="59">
        <v>3</v>
      </c>
      <c r="H37" s="59">
        <v>552</v>
      </c>
      <c r="I37" s="59">
        <v>5128</v>
      </c>
      <c r="J37" s="240">
        <f>SUM(F37:I37)</f>
        <v>11198</v>
      </c>
      <c r="K37" s="69">
        <f>+J37+E37</f>
        <v>28759</v>
      </c>
      <c r="L37" s="462"/>
    </row>
    <row r="38" spans="1:12" x14ac:dyDescent="0.25">
      <c r="A38" s="90" t="s">
        <v>108</v>
      </c>
      <c r="B38" s="126">
        <f>382+249</f>
        <v>631</v>
      </c>
      <c r="C38" s="59">
        <f>916+1528+22467</f>
        <v>24911</v>
      </c>
      <c r="D38" s="59">
        <f>3327+996+0</f>
        <v>4323</v>
      </c>
      <c r="E38" s="59">
        <f>SUM(B38:D38)</f>
        <v>29865</v>
      </c>
      <c r="F38" s="59">
        <v>1569</v>
      </c>
      <c r="G38" s="59">
        <v>365</v>
      </c>
      <c r="H38" s="59">
        <v>33788</v>
      </c>
      <c r="I38" s="59">
        <v>17854</v>
      </c>
      <c r="J38" s="240">
        <f>SUM(F38:I38)</f>
        <v>53576</v>
      </c>
      <c r="K38" s="69">
        <f>+J38+E38</f>
        <v>83441</v>
      </c>
      <c r="L38" s="462"/>
    </row>
    <row r="39" spans="1:12" x14ac:dyDescent="0.25">
      <c r="A39" s="90" t="s">
        <v>109</v>
      </c>
      <c r="B39" s="126">
        <f>+B40-B36-B37-B38</f>
        <v>2524</v>
      </c>
      <c r="C39" s="59">
        <f>+C40-C36-C37-C38</f>
        <v>19952</v>
      </c>
      <c r="D39" s="59">
        <f>+D40-D38-D37-D36</f>
        <v>16625</v>
      </c>
      <c r="E39" s="59">
        <f>SUM(B39:D39)</f>
        <v>39101</v>
      </c>
      <c r="F39" s="59">
        <v>2182</v>
      </c>
      <c r="G39" s="59">
        <v>261</v>
      </c>
      <c r="H39" s="59">
        <v>3967</v>
      </c>
      <c r="I39" s="59">
        <v>9266</v>
      </c>
      <c r="J39" s="240">
        <f>SUM(F39:I39)</f>
        <v>15676</v>
      </c>
      <c r="K39" s="69">
        <f>+J39+E39</f>
        <v>54777</v>
      </c>
      <c r="L39" s="462"/>
    </row>
    <row r="40" spans="1:12" ht="15.75" thickBot="1" x14ac:dyDescent="0.3">
      <c r="A40" s="147" t="s">
        <v>110</v>
      </c>
      <c r="B40" s="264">
        <v>29385</v>
      </c>
      <c r="C40" s="239">
        <v>68612</v>
      </c>
      <c r="D40" s="239">
        <v>69424</v>
      </c>
      <c r="E40" s="238">
        <f t="shared" ref="E40:K40" si="3">SUM(E36:E39)</f>
        <v>167421</v>
      </c>
      <c r="F40" s="238">
        <f t="shared" si="3"/>
        <v>28785</v>
      </c>
      <c r="G40" s="238">
        <f t="shared" si="3"/>
        <v>3828</v>
      </c>
      <c r="H40" s="238">
        <f t="shared" si="3"/>
        <v>83354</v>
      </c>
      <c r="I40" s="238">
        <f t="shared" si="3"/>
        <v>176579</v>
      </c>
      <c r="J40" s="239">
        <f t="shared" si="3"/>
        <v>292546</v>
      </c>
      <c r="K40" s="291">
        <f t="shared" si="3"/>
        <v>459967</v>
      </c>
      <c r="L40" s="462"/>
    </row>
    <row r="41" spans="1:12" ht="5.25" customHeight="1" x14ac:dyDescent="0.25">
      <c r="A41" s="90"/>
      <c r="B41" s="263"/>
      <c r="C41" s="263"/>
      <c r="D41" s="263"/>
      <c r="E41" s="263"/>
      <c r="F41" s="263"/>
      <c r="G41" s="263"/>
      <c r="H41" s="263"/>
      <c r="I41" s="263"/>
      <c r="J41" s="263"/>
      <c r="K41" s="262"/>
      <c r="L41" s="462"/>
    </row>
    <row r="42" spans="1:12" ht="15" customHeight="1" thickBot="1" x14ac:dyDescent="0.3">
      <c r="A42" s="90"/>
      <c r="B42" s="263"/>
      <c r="C42" s="263"/>
      <c r="D42" s="263"/>
      <c r="E42" s="263"/>
      <c r="F42" s="263"/>
      <c r="G42" s="263"/>
      <c r="H42" s="263"/>
      <c r="I42" s="263"/>
      <c r="J42" s="263"/>
      <c r="K42" s="262"/>
      <c r="L42" s="462"/>
    </row>
    <row r="43" spans="1:12" x14ac:dyDescent="0.25">
      <c r="A43" s="198" t="s">
        <v>510</v>
      </c>
      <c r="B43" s="613" t="s">
        <v>94</v>
      </c>
      <c r="C43" s="613"/>
      <c r="D43" s="613"/>
      <c r="E43" s="613"/>
      <c r="F43" s="613" t="s">
        <v>95</v>
      </c>
      <c r="G43" s="613"/>
      <c r="H43" s="613"/>
      <c r="I43" s="613"/>
      <c r="J43" s="613"/>
      <c r="K43" s="614"/>
      <c r="L43" s="462"/>
    </row>
    <row r="44" spans="1:12" ht="30.75" customHeight="1" x14ac:dyDescent="0.25">
      <c r="A44" s="201"/>
      <c r="B44" s="261" t="s">
        <v>96</v>
      </c>
      <c r="C44" s="261" t="s">
        <v>97</v>
      </c>
      <c r="D44" s="261" t="s">
        <v>98</v>
      </c>
      <c r="E44" s="260" t="s">
        <v>99</v>
      </c>
      <c r="F44" s="261" t="s">
        <v>100</v>
      </c>
      <c r="G44" s="261" t="s">
        <v>101</v>
      </c>
      <c r="H44" s="261" t="s">
        <v>102</v>
      </c>
      <c r="I44" s="261" t="s">
        <v>103</v>
      </c>
      <c r="J44" s="260" t="s">
        <v>104</v>
      </c>
      <c r="K44" s="205" t="s">
        <v>105</v>
      </c>
      <c r="L44" s="462"/>
    </row>
    <row r="45" spans="1:12" x14ac:dyDescent="0.25">
      <c r="A45" s="201" t="s">
        <v>106</v>
      </c>
      <c r="B45" s="321">
        <f>'LWVC-Stmt of Act. by Class'!F17</f>
        <v>8058.77</v>
      </c>
      <c r="C45" s="321">
        <f>'LWVC-Stmt of Act. by Class'!N17</f>
        <v>23609.29</v>
      </c>
      <c r="D45" s="321">
        <f>'LWVC-Stmt of Act. by Class'!V17</f>
        <v>40936.33</v>
      </c>
      <c r="E45" s="321">
        <f>SUM(B45:D45)</f>
        <v>72604.39</v>
      </c>
      <c r="F45" s="321">
        <f>'LWVC-Stmt of Act. by Class'!AL17+'LWVC-Stmt of Act. by Class'!AT17</f>
        <v>12652.52</v>
      </c>
      <c r="G45" s="321">
        <f>'LWVC-Stmt of Act. by Class'!AP17</f>
        <v>2384.1999999999998</v>
      </c>
      <c r="H45" s="321">
        <f>'LWVC-Stmt of Act. by Class'!BJ17</f>
        <v>47392.72</v>
      </c>
      <c r="I45" s="321">
        <f>'LWVC-Stmt of Act. by Class'!BZ17</f>
        <v>119461.8</v>
      </c>
      <c r="J45" s="321">
        <f>SUM(F45:I45)</f>
        <v>181891.24</v>
      </c>
      <c r="K45" s="322">
        <f>J45+E45</f>
        <v>254495.63</v>
      </c>
      <c r="L45" s="259"/>
    </row>
    <row r="46" spans="1:12" x14ac:dyDescent="0.25">
      <c r="A46" s="201" t="s">
        <v>107</v>
      </c>
      <c r="B46" s="323">
        <f>'LWVC-Stmt of Act. by Class'!F27</f>
        <v>7698.75</v>
      </c>
      <c r="C46" s="323">
        <f>'LWVC-Stmt of Act. by Class'!N27</f>
        <v>2275.7600000000002</v>
      </c>
      <c r="D46" s="323">
        <f>'LWVC-Stmt of Act. by Class'!V27</f>
        <v>1424.5</v>
      </c>
      <c r="E46" s="323">
        <f>SUM(B46:D46)</f>
        <v>11399.01</v>
      </c>
      <c r="F46" s="323">
        <f>'LWVC-Stmt of Act. by Class'!AL27+'LWVC-Stmt of Act. by Class'!AT27</f>
        <v>2363.85</v>
      </c>
      <c r="G46" s="323">
        <f>'LWVC-Stmt of Act. by Class'!AP27</f>
        <v>0</v>
      </c>
      <c r="H46" s="323">
        <f>'LWVC-Stmt of Act. by Class'!BJ27</f>
        <v>2.4700000000000002</v>
      </c>
      <c r="I46" s="323">
        <f>'LWVC-Stmt of Act. by Class'!BZ27</f>
        <v>3225.09</v>
      </c>
      <c r="J46" s="321">
        <f>SUM(F46:I46)</f>
        <v>5591.41</v>
      </c>
      <c r="K46" s="322">
        <f>J46+E46</f>
        <v>16990.419999999998</v>
      </c>
      <c r="L46" s="462"/>
    </row>
    <row r="47" spans="1:12" x14ac:dyDescent="0.25">
      <c r="A47" s="201" t="s">
        <v>108</v>
      </c>
      <c r="B47" s="323">
        <f>'LWVC-Stmt of Act. by Class'!F18+'LWVC-Stmt of Act. by Class'!F32+'LWVC-Stmt of Act. by Class'!F31</f>
        <v>1848.15</v>
      </c>
      <c r="C47" s="323">
        <f>'LWVC-Stmt of Act. by Class'!N18+'LWVC-Stmt of Act. by Class'!N31+'LWVC-Stmt of Act. by Class'!N32</f>
        <v>26683.59</v>
      </c>
      <c r="D47" s="323">
        <f>'LWVC-Stmt of Act. by Class'!V18+'LWVC-Stmt of Act. by Class'!V31+'LWVC-Stmt of Act. by Class'!V32</f>
        <v>12080.83</v>
      </c>
      <c r="E47" s="323">
        <f>SUM(B47:D47)</f>
        <v>40612.57</v>
      </c>
      <c r="F47" s="323">
        <f>'LWVC-Stmt of Act. by Class'!AL32+'LWVC-Stmt of Act. by Class'!AL31+'LWVC-Stmt of Act. by Class'!AL18+'LWVC-Stmt of Act. by Class'!AT32+'LWVC-Stmt of Act. by Class'!AT31+'LWVC-Stmt of Act. by Class'!AT18</f>
        <v>2096.2599999999998</v>
      </c>
      <c r="G47" s="323">
        <f>'LWVC-Stmt of Act. by Class'!AP18+'LWVC-Stmt of Act. by Class'!AP31+'LWVC-Stmt of Act. by Class'!AP32</f>
        <v>151.96</v>
      </c>
      <c r="H47" s="323">
        <f>'LWVC-Stmt of Act. by Class'!BJ33+'LWVC-Stmt of Act. by Class'!BJ32+'LWVC-Stmt of Act. by Class'!BJ31+'LWVC-Stmt of Act. by Class'!BJ18</f>
        <v>31665.48</v>
      </c>
      <c r="I47" s="323">
        <f>'LWVC-Stmt of Act. by Class'!BZ18+'LWVC-Stmt of Act. by Class'!BZ31+'LWVC-Stmt of Act. by Class'!BZ32</f>
        <v>15545.73</v>
      </c>
      <c r="J47" s="321">
        <f>SUM(F47:I47)</f>
        <v>49459.429999999993</v>
      </c>
      <c r="K47" s="322">
        <f>J47+E47</f>
        <v>90072</v>
      </c>
      <c r="L47" s="462"/>
    </row>
    <row r="48" spans="1:12" x14ac:dyDescent="0.25">
      <c r="A48" s="201" t="s">
        <v>109</v>
      </c>
      <c r="B48" s="323">
        <f>B49-B47-B46-B45</f>
        <v>2111.989999999998</v>
      </c>
      <c r="C48" s="323">
        <f>C49-C47-C46-C45</f>
        <v>18302.630000000005</v>
      </c>
      <c r="D48" s="323">
        <f>D49-D47-D46-D45</f>
        <v>20127.699999999997</v>
      </c>
      <c r="E48" s="323">
        <f>SUM(B48:D48)</f>
        <v>40542.32</v>
      </c>
      <c r="F48" s="323">
        <f>F49-F47-F46-F45</f>
        <v>1451.4400000000005</v>
      </c>
      <c r="G48" s="323">
        <f>G49-G47-G46-G45</f>
        <v>297.2800000000002</v>
      </c>
      <c r="H48" s="323">
        <f>H49-H47-H46-H45</f>
        <v>7103.4700000000012</v>
      </c>
      <c r="I48" s="323">
        <f>I49-I47-I46-I45</f>
        <v>15370.709999999977</v>
      </c>
      <c r="J48" s="321">
        <f>SUM(F48:I48)</f>
        <v>24222.89999999998</v>
      </c>
      <c r="K48" s="322">
        <f>J48+E48</f>
        <v>64765.219999999979</v>
      </c>
      <c r="L48" s="462"/>
    </row>
    <row r="49" spans="1:13" ht="15.75" thickBot="1" x14ac:dyDescent="0.3">
      <c r="A49" s="258" t="s">
        <v>111</v>
      </c>
      <c r="B49" s="257">
        <f>'LWVC-Stmt of Act. by Class'!F35</f>
        <v>19717.66</v>
      </c>
      <c r="C49" s="257">
        <f>'LWVC-Stmt of Act. by Class'!N35</f>
        <v>70871.27</v>
      </c>
      <c r="D49" s="257">
        <f>'LWVC-Stmt of Act. by Class'!V35</f>
        <v>74569.36</v>
      </c>
      <c r="E49" s="257">
        <f>SUM(E45:E48)</f>
        <v>165158.29</v>
      </c>
      <c r="F49" s="257">
        <f>'LWVC-Stmt of Act. by Class'!AL35+'LWVC-Stmt of Act. by Class'!AT35</f>
        <v>18564.07</v>
      </c>
      <c r="G49" s="257">
        <f>'LWVC-Stmt of Act. by Class'!AP35</f>
        <v>2833.44</v>
      </c>
      <c r="H49" s="257">
        <f>'LWVC-Stmt of Act. by Class'!BJ35</f>
        <v>86164.14</v>
      </c>
      <c r="I49" s="257">
        <f>'LWVC-Stmt of Act. by Class'!BZ35</f>
        <v>153603.32999999999</v>
      </c>
      <c r="J49" s="333">
        <f>SUM(F49:I49)</f>
        <v>261164.97999999998</v>
      </c>
      <c r="K49" s="334">
        <f>J49+E49</f>
        <v>426323.27</v>
      </c>
      <c r="L49" s="353"/>
      <c r="M49" s="462"/>
    </row>
    <row r="50" spans="1:13" s="3" customFormat="1" ht="15.75" thickBot="1" x14ac:dyDescent="0.3">
      <c r="A50" s="93"/>
      <c r="B50" s="256"/>
      <c r="C50" s="129"/>
      <c r="D50" s="129"/>
      <c r="E50" s="256"/>
      <c r="F50" s="256"/>
      <c r="G50" s="256"/>
      <c r="H50" s="256"/>
      <c r="I50" s="256"/>
      <c r="J50" s="60"/>
      <c r="K50" s="70"/>
    </row>
    <row r="51" spans="1:13" x14ac:dyDescent="0.25">
      <c r="A51" s="214" t="s">
        <v>511</v>
      </c>
      <c r="B51" s="612" t="s">
        <v>94</v>
      </c>
      <c r="C51" s="612"/>
      <c r="D51" s="612"/>
      <c r="E51" s="612"/>
      <c r="F51" s="612" t="s">
        <v>95</v>
      </c>
      <c r="G51" s="612"/>
      <c r="H51" s="612"/>
      <c r="I51" s="612"/>
      <c r="J51" s="612"/>
      <c r="K51" s="615"/>
      <c r="L51" s="462"/>
      <c r="M51" s="462"/>
    </row>
    <row r="52" spans="1:13" ht="30" x14ac:dyDescent="0.25">
      <c r="A52" s="90"/>
      <c r="B52" s="245" t="s">
        <v>96</v>
      </c>
      <c r="C52" s="245" t="s">
        <v>97</v>
      </c>
      <c r="D52" s="245" t="s">
        <v>112</v>
      </c>
      <c r="E52" s="119" t="s">
        <v>99</v>
      </c>
      <c r="F52" s="245" t="s">
        <v>100</v>
      </c>
      <c r="G52" s="245" t="s">
        <v>101</v>
      </c>
      <c r="H52" s="245" t="s">
        <v>102</v>
      </c>
      <c r="I52" s="245" t="s">
        <v>103</v>
      </c>
      <c r="J52" s="119" t="s">
        <v>104</v>
      </c>
      <c r="K52" s="183" t="s">
        <v>105</v>
      </c>
      <c r="L52" s="462"/>
      <c r="M52" s="462"/>
    </row>
    <row r="53" spans="1:13" x14ac:dyDescent="0.25">
      <c r="A53" s="90" t="s">
        <v>106</v>
      </c>
      <c r="B53" s="252">
        <f t="shared" ref="B53:K53" si="4">+B36-B45</f>
        <v>3163.2299999999996</v>
      </c>
      <c r="C53" s="252">
        <f>'LWVC-Stmt of Act. by Class'!N17</f>
        <v>23609.29</v>
      </c>
      <c r="D53" s="252">
        <f t="shared" si="4"/>
        <v>7006.6699999999983</v>
      </c>
      <c r="E53" s="252">
        <f t="shared" si="4"/>
        <v>8289.61</v>
      </c>
      <c r="F53" s="252">
        <f>+F36-F45</f>
        <v>6866.48</v>
      </c>
      <c r="G53" s="252">
        <f t="shared" si="4"/>
        <v>814.80000000000018</v>
      </c>
      <c r="H53" s="252">
        <f t="shared" si="4"/>
        <v>-2345.7200000000012</v>
      </c>
      <c r="I53" s="252">
        <f t="shared" si="4"/>
        <v>24869.199999999997</v>
      </c>
      <c r="J53" s="252">
        <f t="shared" si="4"/>
        <v>30204.760000000009</v>
      </c>
      <c r="K53" s="251">
        <f t="shared" si="4"/>
        <v>38494.369999999995</v>
      </c>
      <c r="L53" s="462"/>
      <c r="M53" s="462"/>
    </row>
    <row r="54" spans="1:13" x14ac:dyDescent="0.25">
      <c r="A54" s="90" t="s">
        <v>107</v>
      </c>
      <c r="B54" s="252">
        <f t="shared" ref="B54:K54" si="5">+B37-B46</f>
        <v>7309.25</v>
      </c>
      <c r="C54" s="252">
        <f t="shared" si="5"/>
        <v>-255.76000000000022</v>
      </c>
      <c r="D54" s="252">
        <f t="shared" si="5"/>
        <v>-891.5</v>
      </c>
      <c r="E54" s="252">
        <f t="shared" si="5"/>
        <v>6161.99</v>
      </c>
      <c r="F54" s="252">
        <f t="shared" si="5"/>
        <v>3151.15</v>
      </c>
      <c r="G54" s="252">
        <f>+G37-G46</f>
        <v>3</v>
      </c>
      <c r="H54" s="252">
        <f t="shared" si="5"/>
        <v>549.53</v>
      </c>
      <c r="I54" s="252">
        <f t="shared" si="5"/>
        <v>1902.9099999999999</v>
      </c>
      <c r="J54" s="252">
        <f t="shared" si="5"/>
        <v>5606.59</v>
      </c>
      <c r="K54" s="251">
        <f t="shared" si="5"/>
        <v>11768.580000000002</v>
      </c>
      <c r="L54" s="462"/>
      <c r="M54" s="462"/>
    </row>
    <row r="55" spans="1:13" x14ac:dyDescent="0.25">
      <c r="A55" s="90" t="s">
        <v>108</v>
      </c>
      <c r="B55" s="252">
        <f t="shared" ref="B55:K55" si="6">+B38-B47</f>
        <v>-1217.1500000000001</v>
      </c>
      <c r="C55" s="252">
        <f t="shared" si="6"/>
        <v>-1772.5900000000001</v>
      </c>
      <c r="D55" s="252">
        <f t="shared" si="6"/>
        <v>-7757.83</v>
      </c>
      <c r="E55" s="252">
        <f t="shared" si="6"/>
        <v>-10747.57</v>
      </c>
      <c r="F55" s="252">
        <f>+F38-F47</f>
        <v>-527.25999999999976</v>
      </c>
      <c r="G55" s="252">
        <f t="shared" si="6"/>
        <v>213.04</v>
      </c>
      <c r="H55" s="255">
        <f t="shared" si="6"/>
        <v>2122.5200000000004</v>
      </c>
      <c r="I55" s="252">
        <f t="shared" si="6"/>
        <v>2308.2700000000004</v>
      </c>
      <c r="J55" s="252">
        <f t="shared" si="6"/>
        <v>4116.570000000007</v>
      </c>
      <c r="K55" s="251">
        <f t="shared" si="6"/>
        <v>-6631</v>
      </c>
      <c r="L55" s="462"/>
      <c r="M55" s="462"/>
    </row>
    <row r="56" spans="1:13" x14ac:dyDescent="0.25">
      <c r="A56" s="90" t="s">
        <v>109</v>
      </c>
      <c r="B56" s="252">
        <f t="shared" ref="B56:D57" si="7">+B39-B48</f>
        <v>412.01000000000204</v>
      </c>
      <c r="C56" s="252">
        <f t="shared" si="7"/>
        <v>1649.3699999999953</v>
      </c>
      <c r="D56" s="252">
        <f t="shared" si="7"/>
        <v>-3502.6999999999971</v>
      </c>
      <c r="E56" s="252">
        <f t="shared" ref="E56:J57" si="8">+E39-E48</f>
        <v>-1441.3199999999997</v>
      </c>
      <c r="F56" s="252">
        <f t="shared" si="8"/>
        <v>730.55999999999949</v>
      </c>
      <c r="G56" s="252">
        <f t="shared" si="8"/>
        <v>-36.2800000000002</v>
      </c>
      <c r="H56" s="252">
        <f t="shared" si="8"/>
        <v>-3136.4700000000012</v>
      </c>
      <c r="I56" s="252">
        <f t="shared" si="8"/>
        <v>-6104.7099999999773</v>
      </c>
      <c r="J56" s="252">
        <f t="shared" si="8"/>
        <v>-8546.8999999999796</v>
      </c>
      <c r="K56" s="251">
        <f>+K39-K48</f>
        <v>-9988.2199999999793</v>
      </c>
      <c r="L56" s="462"/>
      <c r="M56" s="462"/>
    </row>
    <row r="57" spans="1:13" ht="15.75" thickBot="1" x14ac:dyDescent="0.3">
      <c r="A57" s="147" t="s">
        <v>111</v>
      </c>
      <c r="B57" s="254">
        <f t="shared" si="7"/>
        <v>9667.34</v>
      </c>
      <c r="C57" s="254">
        <f t="shared" si="7"/>
        <v>-2259.2700000000041</v>
      </c>
      <c r="D57" s="254">
        <f t="shared" si="7"/>
        <v>-5145.3600000000006</v>
      </c>
      <c r="E57" s="254">
        <f t="shared" si="8"/>
        <v>2262.7099999999919</v>
      </c>
      <c r="F57" s="254">
        <f t="shared" si="8"/>
        <v>10220.93</v>
      </c>
      <c r="G57" s="254">
        <f t="shared" si="8"/>
        <v>994.56</v>
      </c>
      <c r="H57" s="254">
        <f t="shared" si="8"/>
        <v>-2810.1399999999994</v>
      </c>
      <c r="I57" s="254">
        <f t="shared" si="8"/>
        <v>22975.670000000013</v>
      </c>
      <c r="J57" s="254">
        <f t="shared" si="8"/>
        <v>31381.020000000019</v>
      </c>
      <c r="K57" s="253">
        <f>+K40-K49</f>
        <v>33643.729999999981</v>
      </c>
      <c r="L57" s="130"/>
      <c r="M57" s="462"/>
    </row>
    <row r="58" spans="1:13" ht="15.75" thickBot="1" x14ac:dyDescent="0.3">
      <c r="A58" s="90"/>
      <c r="B58" s="252"/>
      <c r="C58" s="252"/>
      <c r="D58" s="252"/>
      <c r="E58" s="252"/>
      <c r="F58" s="252"/>
      <c r="G58" s="252"/>
      <c r="H58" s="252"/>
      <c r="I58" s="252"/>
      <c r="J58" s="252"/>
      <c r="K58" s="251"/>
      <c r="L58" s="462"/>
      <c r="M58" s="462"/>
    </row>
    <row r="59" spans="1:13" s="1" customFormat="1" x14ac:dyDescent="0.25">
      <c r="A59" s="214" t="s">
        <v>512</v>
      </c>
      <c r="B59" s="612" t="s">
        <v>94</v>
      </c>
      <c r="C59" s="612"/>
      <c r="D59" s="612"/>
      <c r="E59" s="612"/>
      <c r="F59" s="612" t="s">
        <v>95</v>
      </c>
      <c r="G59" s="612"/>
      <c r="H59" s="612"/>
      <c r="I59" s="612"/>
      <c r="J59" s="612"/>
      <c r="K59" s="615"/>
      <c r="L59" s="401"/>
      <c r="M59" s="401"/>
    </row>
    <row r="60" spans="1:13" s="1" customFormat="1" ht="30" x14ac:dyDescent="0.25">
      <c r="A60" s="90"/>
      <c r="B60" s="245" t="s">
        <v>96</v>
      </c>
      <c r="C60" s="245" t="s">
        <v>97</v>
      </c>
      <c r="D60" s="245" t="s">
        <v>112</v>
      </c>
      <c r="E60" s="119" t="s">
        <v>99</v>
      </c>
      <c r="F60" s="245" t="s">
        <v>100</v>
      </c>
      <c r="G60" s="245" t="s">
        <v>101</v>
      </c>
      <c r="H60" s="245" t="s">
        <v>102</v>
      </c>
      <c r="I60" s="245" t="s">
        <v>103</v>
      </c>
      <c r="J60" s="119" t="s">
        <v>104</v>
      </c>
      <c r="K60" s="183" t="s">
        <v>105</v>
      </c>
      <c r="L60" s="401"/>
      <c r="M60" s="320"/>
    </row>
    <row r="61" spans="1:13" s="1" customFormat="1" x14ac:dyDescent="0.25">
      <c r="A61" s="90" t="s">
        <v>106</v>
      </c>
      <c r="B61" s="247">
        <f>+B45/B36</f>
        <v>0.71812243806808063</v>
      </c>
      <c r="C61" s="247">
        <f t="shared" ref="C61:K61" si="9">+C45/C36</f>
        <v>1.0865336646877446</v>
      </c>
      <c r="D61" s="247">
        <f t="shared" si="9"/>
        <v>0.85385416014850968</v>
      </c>
      <c r="E61" s="247">
        <f>+E45/E36</f>
        <v>0.89752503275891904</v>
      </c>
      <c r="F61" s="247">
        <f t="shared" si="9"/>
        <v>0.64821558481479591</v>
      </c>
      <c r="G61" s="247">
        <f t="shared" si="9"/>
        <v>0.74529540481400436</v>
      </c>
      <c r="H61" s="247">
        <f t="shared" si="9"/>
        <v>1.0520727240437766</v>
      </c>
      <c r="I61" s="247">
        <f t="shared" si="9"/>
        <v>0.82769328834415334</v>
      </c>
      <c r="J61" s="247">
        <f t="shared" si="9"/>
        <v>0.85758920488835244</v>
      </c>
      <c r="K61" s="250">
        <f t="shared" si="9"/>
        <v>0.8686154134953411</v>
      </c>
      <c r="L61" s="401"/>
      <c r="M61" s="401"/>
    </row>
    <row r="62" spans="1:13" s="1" customFormat="1" x14ac:dyDescent="0.25">
      <c r="A62" s="90" t="s">
        <v>107</v>
      </c>
      <c r="B62" s="247">
        <f t="shared" ref="B62:H65" si="10">+B46/B37</f>
        <v>0.51297641257995741</v>
      </c>
      <c r="C62" s="247">
        <f t="shared" si="10"/>
        <v>1.1266138613861387</v>
      </c>
      <c r="D62" s="123">
        <f t="shared" si="10"/>
        <v>2.6726078799249531</v>
      </c>
      <c r="E62" s="123">
        <f t="shared" si="10"/>
        <v>0.64910939012584701</v>
      </c>
      <c r="F62" s="123">
        <f t="shared" si="10"/>
        <v>0.42862194016319127</v>
      </c>
      <c r="G62" s="123">
        <f t="shared" si="10"/>
        <v>0</v>
      </c>
      <c r="H62" s="123">
        <f t="shared" si="10"/>
        <v>4.4746376811594206E-3</v>
      </c>
      <c r="I62" s="247">
        <f>+I46/I37</f>
        <v>0.62891770670826841</v>
      </c>
      <c r="J62" s="247">
        <f t="shared" ref="H62:K65" si="11">+J46/J37</f>
        <v>0.4993222003929273</v>
      </c>
      <c r="K62" s="250">
        <f>+K46/K37</f>
        <v>0.59078618867137234</v>
      </c>
      <c r="L62" s="401"/>
      <c r="M62" s="320"/>
    </row>
    <row r="63" spans="1:13" s="1" customFormat="1" x14ac:dyDescent="0.25">
      <c r="A63" s="90" t="s">
        <v>108</v>
      </c>
      <c r="B63" s="247">
        <f t="shared" si="10"/>
        <v>2.9289223454833597</v>
      </c>
      <c r="C63" s="247">
        <f>+C47/C38</f>
        <v>1.071156918630324</v>
      </c>
      <c r="D63" s="123">
        <f>+D47/D38</f>
        <v>2.7945477677538748</v>
      </c>
      <c r="E63" s="123">
        <f t="shared" si="10"/>
        <v>1.3598717562363971</v>
      </c>
      <c r="F63" s="123">
        <f>+F47/F38</f>
        <v>1.3360484384958571</v>
      </c>
      <c r="G63" s="123">
        <f>+G47/G38</f>
        <v>0.4163287671232877</v>
      </c>
      <c r="H63" s="123">
        <f t="shared" si="11"/>
        <v>0.937181247780277</v>
      </c>
      <c r="I63" s="247">
        <f t="shared" si="11"/>
        <v>0.87071412568612072</v>
      </c>
      <c r="J63" s="247">
        <f t="shared" si="11"/>
        <v>0.92316391667910991</v>
      </c>
      <c r="K63" s="250">
        <f t="shared" si="11"/>
        <v>1.0794693256312844</v>
      </c>
      <c r="L63" s="401"/>
      <c r="M63" s="401"/>
    </row>
    <row r="64" spans="1:13" s="1" customFormat="1" x14ac:dyDescent="0.25">
      <c r="A64" s="90" t="s">
        <v>109</v>
      </c>
      <c r="B64" s="247">
        <f t="shared" si="10"/>
        <v>0.83676307448494369</v>
      </c>
      <c r="C64" s="247">
        <f t="shared" si="10"/>
        <v>0.91733309943865304</v>
      </c>
      <c r="D64" s="247">
        <f t="shared" si="10"/>
        <v>1.210688721804511</v>
      </c>
      <c r="E64" s="247">
        <f t="shared" si="10"/>
        <v>1.0368614613436997</v>
      </c>
      <c r="F64" s="247">
        <f t="shared" si="10"/>
        <v>0.66518790100824954</v>
      </c>
      <c r="G64" s="247">
        <f>+G48/G39</f>
        <v>1.1390038314176252</v>
      </c>
      <c r="H64" s="247">
        <f t="shared" si="11"/>
        <v>1.7906402823292162</v>
      </c>
      <c r="I64" s="247">
        <f t="shared" si="11"/>
        <v>1.6588290524498142</v>
      </c>
      <c r="J64" s="247">
        <f t="shared" si="11"/>
        <v>1.5452219954069903</v>
      </c>
      <c r="K64" s="250">
        <f t="shared" si="11"/>
        <v>1.1823433192763382</v>
      </c>
      <c r="L64" s="401"/>
      <c r="M64" s="401"/>
    </row>
    <row r="65" spans="1:15" s="1" customFormat="1" ht="15.75" thickBot="1" x14ac:dyDescent="0.3">
      <c r="A65" s="147" t="s">
        <v>111</v>
      </c>
      <c r="B65" s="249">
        <f t="shared" si="10"/>
        <v>0.67101106006465883</v>
      </c>
      <c r="C65" s="249">
        <f t="shared" si="10"/>
        <v>1.032928204978721</v>
      </c>
      <c r="D65" s="249">
        <f t="shared" si="10"/>
        <v>1.0741150034570177</v>
      </c>
      <c r="E65" s="249">
        <f t="shared" si="10"/>
        <v>0.98648490930050592</v>
      </c>
      <c r="F65" s="249">
        <f t="shared" si="10"/>
        <v>0.64492166058711131</v>
      </c>
      <c r="G65" s="249">
        <f>+G49/G40</f>
        <v>0.74018808777429468</v>
      </c>
      <c r="H65" s="249">
        <f t="shared" si="11"/>
        <v>1.0337133190968639</v>
      </c>
      <c r="I65" s="249">
        <f t="shared" si="11"/>
        <v>0.86988447097333199</v>
      </c>
      <c r="J65" s="249">
        <f t="shared" si="11"/>
        <v>0.89273133114108549</v>
      </c>
      <c r="K65" s="248">
        <f t="shared" si="11"/>
        <v>0.92685620924979406</v>
      </c>
      <c r="L65" s="401"/>
      <c r="M65" s="401"/>
      <c r="N65" s="401"/>
      <c r="O65" s="401"/>
    </row>
    <row r="66" spans="1:15" s="1" customFormat="1" x14ac:dyDescent="0.25">
      <c r="A66" s="401"/>
      <c r="B66" s="247"/>
      <c r="C66" s="247"/>
      <c r="D66" s="247"/>
      <c r="E66" s="247"/>
      <c r="F66" s="247"/>
      <c r="G66" s="247"/>
      <c r="H66" s="247"/>
      <c r="I66" s="247"/>
      <c r="J66" s="247"/>
      <c r="K66" s="247"/>
      <c r="L66" s="401"/>
      <c r="M66" s="401"/>
      <c r="N66" s="401"/>
      <c r="O66" s="401"/>
    </row>
    <row r="67" spans="1:15" s="1" customFormat="1" x14ac:dyDescent="0.25">
      <c r="A67" s="2"/>
      <c r="B67" s="123"/>
      <c r="C67" s="130"/>
      <c r="D67" s="123"/>
      <c r="E67" s="247"/>
      <c r="F67" s="247"/>
      <c r="G67" s="247"/>
      <c r="H67" s="247"/>
      <c r="I67" s="247"/>
      <c r="J67" s="247"/>
      <c r="K67" s="247"/>
      <c r="L67" s="401"/>
      <c r="M67" s="401"/>
      <c r="N67" s="401"/>
      <c r="O67" s="401"/>
    </row>
    <row r="68" spans="1:15" s="1" customFormat="1" x14ac:dyDescent="0.25">
      <c r="A68" s="2"/>
      <c r="B68" s="123"/>
      <c r="C68" s="123"/>
      <c r="D68" s="123"/>
      <c r="E68" s="247"/>
      <c r="F68" s="247"/>
      <c r="G68" s="247"/>
      <c r="H68" s="247"/>
      <c r="I68" s="247"/>
      <c r="J68" s="247"/>
      <c r="K68" s="247"/>
      <c r="L68" s="401"/>
      <c r="M68" s="401"/>
      <c r="N68" s="401"/>
      <c r="O68" s="401"/>
    </row>
    <row r="69" spans="1:15" s="1" customFormat="1" x14ac:dyDescent="0.25">
      <c r="A69" s="2"/>
      <c r="B69" s="123"/>
      <c r="C69" s="123"/>
      <c r="D69" s="123"/>
      <c r="E69" s="247"/>
      <c r="F69" s="247"/>
      <c r="G69" s="247"/>
      <c r="H69" s="247"/>
      <c r="I69" s="247"/>
      <c r="J69" s="247"/>
      <c r="K69" s="247"/>
      <c r="L69" s="401"/>
      <c r="M69" s="401"/>
      <c r="N69" s="401"/>
      <c r="O69" s="401"/>
    </row>
    <row r="70" spans="1:15" s="1" customFormat="1" x14ac:dyDescent="0.25">
      <c r="A70" s="401"/>
      <c r="B70" s="247"/>
      <c r="C70" s="247"/>
      <c r="D70" s="247"/>
      <c r="E70" s="247"/>
      <c r="F70" s="247"/>
      <c r="G70" s="247"/>
      <c r="H70" s="247"/>
      <c r="I70" s="247"/>
      <c r="J70" s="247"/>
      <c r="K70" s="247"/>
      <c r="L70" s="401"/>
      <c r="M70" s="401"/>
      <c r="N70" s="401"/>
      <c r="O70" s="401"/>
    </row>
    <row r="71" spans="1:15" s="1" customFormat="1" x14ac:dyDescent="0.25">
      <c r="A71" s="401"/>
      <c r="B71" s="247"/>
      <c r="C71" s="247"/>
      <c r="D71" s="247"/>
      <c r="E71" s="247"/>
      <c r="F71" s="247"/>
      <c r="G71" s="247"/>
      <c r="H71" s="247"/>
      <c r="I71" s="247"/>
      <c r="J71" s="247"/>
      <c r="K71" s="247"/>
      <c r="L71" s="401"/>
      <c r="M71" s="401"/>
      <c r="N71" s="401"/>
      <c r="O71" s="401"/>
    </row>
    <row r="72" spans="1:15" s="1" customFormat="1" x14ac:dyDescent="0.25">
      <c r="A72" s="401"/>
      <c r="B72" s="247"/>
      <c r="C72" s="247"/>
      <c r="D72" s="247"/>
      <c r="E72" s="247"/>
      <c r="F72" s="247"/>
      <c r="G72" s="247"/>
      <c r="H72" s="247"/>
      <c r="I72" s="247"/>
      <c r="J72" s="247"/>
      <c r="K72" s="247"/>
      <c r="L72" s="401"/>
      <c r="M72" s="401"/>
      <c r="N72" s="401"/>
      <c r="O72" s="401"/>
    </row>
    <row r="73" spans="1:15" s="1" customFormat="1" x14ac:dyDescent="0.25">
      <c r="A73" s="401"/>
      <c r="B73" s="247"/>
      <c r="C73" s="247"/>
      <c r="D73" s="247"/>
      <c r="E73" s="247"/>
      <c r="F73" s="247"/>
      <c r="G73" s="247"/>
      <c r="H73" s="247"/>
      <c r="I73" s="247"/>
      <c r="J73" s="247"/>
      <c r="K73" s="247"/>
      <c r="L73" s="401"/>
      <c r="M73" s="401"/>
      <c r="N73" s="401"/>
      <c r="O73" s="401"/>
    </row>
    <row r="74" spans="1:15" s="1" customFormat="1" x14ac:dyDescent="0.25">
      <c r="A74" s="401"/>
      <c r="B74" s="247"/>
      <c r="C74" s="247"/>
      <c r="D74" s="247"/>
      <c r="E74" s="247"/>
      <c r="F74" s="247"/>
      <c r="G74" s="247"/>
      <c r="H74" s="247"/>
      <c r="I74" s="247"/>
      <c r="J74" s="247"/>
      <c r="K74" s="247"/>
      <c r="L74" s="401"/>
      <c r="M74" s="401"/>
      <c r="N74" s="401"/>
      <c r="O74" s="401"/>
    </row>
    <row r="75" spans="1:15" s="1" customFormat="1" x14ac:dyDescent="0.25">
      <c r="A75" s="401"/>
      <c r="B75" s="247"/>
      <c r="C75" s="247"/>
      <c r="D75" s="247"/>
      <c r="E75" s="247"/>
      <c r="F75" s="247"/>
      <c r="G75" s="247"/>
      <c r="H75" s="247"/>
      <c r="I75" s="247"/>
      <c r="J75" s="247"/>
      <c r="K75" s="247"/>
      <c r="L75" s="401"/>
      <c r="M75" s="401"/>
      <c r="N75" s="401"/>
      <c r="O75" s="401"/>
    </row>
    <row r="76" spans="1:15" ht="15.75" hidden="1" thickBot="1" x14ac:dyDescent="0.3">
      <c r="A76" s="90"/>
      <c r="B76" s="135"/>
      <c r="C76" s="246"/>
      <c r="D76" s="246"/>
      <c r="E76" s="135"/>
      <c r="F76" s="135"/>
      <c r="G76" s="135"/>
      <c r="H76" s="135"/>
      <c r="I76" s="135"/>
      <c r="J76" s="58"/>
      <c r="K76" s="69"/>
      <c r="L76" s="462"/>
      <c r="M76" s="462"/>
      <c r="N76" s="462"/>
      <c r="O76" s="462"/>
    </row>
    <row r="77" spans="1:15" ht="15.75" hidden="1" thickBot="1" x14ac:dyDescent="0.3">
      <c r="A77" s="234" t="s">
        <v>113</v>
      </c>
      <c r="B77" s="612" t="s">
        <v>94</v>
      </c>
      <c r="C77" s="612"/>
      <c r="D77" s="612"/>
      <c r="E77" s="612"/>
      <c r="F77" s="612" t="s">
        <v>95</v>
      </c>
      <c r="G77" s="612"/>
      <c r="H77" s="612"/>
      <c r="I77" s="612"/>
      <c r="J77" s="612"/>
      <c r="K77" s="615"/>
      <c r="L77" s="462"/>
      <c r="M77" s="462"/>
      <c r="N77" s="462"/>
      <c r="O77" s="462"/>
    </row>
    <row r="78" spans="1:15" ht="37.5" hidden="1" customHeight="1" x14ac:dyDescent="0.25">
      <c r="A78" s="90"/>
      <c r="B78" s="245" t="s">
        <v>96</v>
      </c>
      <c r="C78" s="245" t="s">
        <v>97</v>
      </c>
      <c r="D78" s="245" t="s">
        <v>112</v>
      </c>
      <c r="E78" s="119" t="s">
        <v>99</v>
      </c>
      <c r="F78" s="245" t="s">
        <v>100</v>
      </c>
      <c r="G78" s="245" t="s">
        <v>101</v>
      </c>
      <c r="H78" s="245" t="s">
        <v>114</v>
      </c>
      <c r="I78" s="245" t="s">
        <v>103</v>
      </c>
      <c r="J78" s="119" t="s">
        <v>104</v>
      </c>
      <c r="K78" s="183" t="s">
        <v>105</v>
      </c>
      <c r="L78" s="78" t="s">
        <v>83</v>
      </c>
      <c r="M78" s="244"/>
      <c r="N78" s="92"/>
      <c r="O78" s="92"/>
    </row>
    <row r="79" spans="1:15" hidden="1" x14ac:dyDescent="0.25">
      <c r="A79" s="90" t="s">
        <v>106</v>
      </c>
      <c r="B79" s="121">
        <f>B36*G4</f>
        <v>12242.181818181818</v>
      </c>
      <c r="C79" s="121">
        <f>C45*G4</f>
        <v>25755.589090909089</v>
      </c>
      <c r="D79" s="121">
        <f>D45*G4</f>
        <v>44657.814545454545</v>
      </c>
      <c r="E79" s="153">
        <f>B79+C79+D79</f>
        <v>82655.585454545449</v>
      </c>
      <c r="F79" s="121">
        <f>F45*G4</f>
        <v>13802.74909090909</v>
      </c>
      <c r="G79" s="153">
        <f>G45*G4</f>
        <v>2600.9454545454541</v>
      </c>
      <c r="H79" s="121">
        <f>H45*G4</f>
        <v>51701.149090909086</v>
      </c>
      <c r="I79" s="153">
        <f>I45*G4</f>
        <v>130321.96363636362</v>
      </c>
      <c r="J79" s="121">
        <f>SUM(F79:I79)</f>
        <v>198426.80727272725</v>
      </c>
      <c r="K79" s="69">
        <f>J79+E79</f>
        <v>281082.3927272727</v>
      </c>
      <c r="L79" s="235">
        <f>+K79/K36</f>
        <v>0.95935831505263902</v>
      </c>
      <c r="M79" s="230"/>
      <c r="N79" s="462"/>
      <c r="O79" s="462"/>
    </row>
    <row r="80" spans="1:15" hidden="1" x14ac:dyDescent="0.25">
      <c r="A80" s="90" t="s">
        <v>107</v>
      </c>
      <c r="B80" s="126">
        <f>B37*G4</f>
        <v>16372.363636363636</v>
      </c>
      <c r="C80" s="59">
        <f>C46*G4</f>
        <v>2482.6472727272726</v>
      </c>
      <c r="D80" s="59">
        <f>D46*G4</f>
        <v>1553.9999999999998</v>
      </c>
      <c r="E80" s="59">
        <f>SUM(B80:D80)</f>
        <v>20409.01090909091</v>
      </c>
      <c r="F80" s="59">
        <f>F46*G4</f>
        <v>2578.7454545454543</v>
      </c>
      <c r="G80" s="243">
        <f>4*3*160</f>
        <v>1920</v>
      </c>
      <c r="H80" s="59">
        <f>H46*G4</f>
        <v>2.6945454545454544</v>
      </c>
      <c r="I80" s="59">
        <f>I46*G4</f>
        <v>3518.2799999999997</v>
      </c>
      <c r="J80" s="240">
        <f>SUM(F80:I80)</f>
        <v>8019.72</v>
      </c>
      <c r="K80" s="69">
        <f>J80+E80</f>
        <v>28428.730909090911</v>
      </c>
      <c r="L80" s="235">
        <f>+K80/K37</f>
        <v>0.9885159744459443</v>
      </c>
      <c r="M80" s="230"/>
      <c r="N80" s="92"/>
      <c r="O80" s="92"/>
    </row>
    <row r="81" spans="1:17" hidden="1" x14ac:dyDescent="0.25">
      <c r="A81" s="90" t="s">
        <v>108</v>
      </c>
      <c r="B81" s="59">
        <f>B38*G4</f>
        <v>688.36363636363626</v>
      </c>
      <c r="C81" s="59">
        <f>C47*G4</f>
        <v>29109.370909090907</v>
      </c>
      <c r="D81" s="59">
        <f>D47*G4</f>
        <v>13179.087272727271</v>
      </c>
      <c r="E81" s="59">
        <f>SUM(B81:D81)</f>
        <v>42976.821818181816</v>
      </c>
      <c r="F81" s="59">
        <f>F47*G4</f>
        <v>2286.8290909090906</v>
      </c>
      <c r="G81" s="242">
        <v>85773</v>
      </c>
      <c r="H81" s="59">
        <f>H47*G4+2000</f>
        <v>36544.159999999996</v>
      </c>
      <c r="I81" s="59">
        <f>I47*G4</f>
        <v>16958.97818181818</v>
      </c>
      <c r="J81" s="240">
        <f>SUM(F81:I81)</f>
        <v>141562.96727272726</v>
      </c>
      <c r="K81" s="69">
        <f>J81+E81</f>
        <v>184539.78909090906</v>
      </c>
      <c r="L81" s="235">
        <f>+K81/K38</f>
        <v>2.2116200559785844</v>
      </c>
      <c r="M81" s="230"/>
      <c r="N81" s="462"/>
      <c r="O81" s="462"/>
      <c r="P81" s="92"/>
      <c r="Q81" s="92"/>
    </row>
    <row r="82" spans="1:17" hidden="1" x14ac:dyDescent="0.25">
      <c r="A82" s="90" t="s">
        <v>109</v>
      </c>
      <c r="B82" s="59">
        <f>B39*G4</f>
        <v>2753.454545454545</v>
      </c>
      <c r="C82" s="126">
        <f>C48*G4+1000</f>
        <v>20966.505454545459</v>
      </c>
      <c r="D82" s="126">
        <f>D48*G4</f>
        <v>21957.490909090906</v>
      </c>
      <c r="E82" s="126">
        <f>SUM(B82:D82)</f>
        <v>45677.450909090912</v>
      </c>
      <c r="F82" s="126">
        <f>F48*G4</f>
        <v>1583.3890909090912</v>
      </c>
      <c r="G82" s="126">
        <f>G48*G4</f>
        <v>324.30545454545472</v>
      </c>
      <c r="H82" s="241">
        <f>H48*G4+5000</f>
        <v>12749.240000000002</v>
      </c>
      <c r="I82" s="126">
        <f>I48*G4</f>
        <v>16768.047272727246</v>
      </c>
      <c r="J82" s="240">
        <f>SUM(F82:I82)</f>
        <v>31424.981818181794</v>
      </c>
      <c r="K82" s="69">
        <f>J82+E82</f>
        <v>77102.43272727271</v>
      </c>
      <c r="L82" s="235">
        <f>+K82/K39</f>
        <v>1.4075694676099952</v>
      </c>
      <c r="M82" s="230"/>
      <c r="N82" s="462"/>
      <c r="O82" s="462"/>
      <c r="P82" s="92"/>
      <c r="Q82" s="462"/>
    </row>
    <row r="83" spans="1:17" ht="15.75" hidden="1" thickBot="1" x14ac:dyDescent="0.3">
      <c r="A83" s="147" t="s">
        <v>115</v>
      </c>
      <c r="B83" s="238">
        <f t="shared" ref="B83:I83" si="12">SUM(B79:B82)</f>
        <v>32056.363636363636</v>
      </c>
      <c r="C83" s="239">
        <f t="shared" si="12"/>
        <v>78314.112727272732</v>
      </c>
      <c r="D83" s="239">
        <f t="shared" si="12"/>
        <v>81348.392727272731</v>
      </c>
      <c r="E83" s="238">
        <f t="shared" si="12"/>
        <v>191718.86909090908</v>
      </c>
      <c r="F83" s="238">
        <f t="shared" si="12"/>
        <v>20251.712727272727</v>
      </c>
      <c r="G83" s="238">
        <f t="shared" si="12"/>
        <v>90618.250909090901</v>
      </c>
      <c r="H83" s="238">
        <f t="shared" si="12"/>
        <v>100997.24363636364</v>
      </c>
      <c r="I83" s="238">
        <f t="shared" si="12"/>
        <v>167567.26909090905</v>
      </c>
      <c r="J83" s="237">
        <f>SUM(F83:I83)</f>
        <v>379434.47636363632</v>
      </c>
      <c r="K83" s="236">
        <f>J83+E83</f>
        <v>571153.34545454546</v>
      </c>
      <c r="L83" s="235"/>
      <c r="M83" s="230"/>
      <c r="N83" s="462"/>
      <c r="O83" s="462"/>
      <c r="P83" s="92"/>
      <c r="Q83" s="462"/>
    </row>
    <row r="84" spans="1:17" hidden="1" x14ac:dyDescent="0.25">
      <c r="A84" s="234" t="s">
        <v>116</v>
      </c>
      <c r="B84" s="612" t="s">
        <v>94</v>
      </c>
      <c r="C84" s="612"/>
      <c r="D84" s="612"/>
      <c r="E84" s="612"/>
      <c r="F84" s="612" t="s">
        <v>95</v>
      </c>
      <c r="G84" s="612"/>
      <c r="H84" s="612"/>
      <c r="I84" s="612"/>
      <c r="J84" s="612"/>
      <c r="K84" s="615"/>
      <c r="L84" s="138"/>
      <c r="M84" s="401"/>
      <c r="N84" s="462"/>
      <c r="O84" s="462"/>
      <c r="P84" s="462"/>
      <c r="Q84" s="462"/>
    </row>
    <row r="85" spans="1:17" hidden="1" x14ac:dyDescent="0.25">
      <c r="A85" s="90" t="s">
        <v>106</v>
      </c>
      <c r="B85" s="58" t="e">
        <f>#REF!-B79</f>
        <v>#REF!</v>
      </c>
      <c r="C85" s="58">
        <f t="shared" ref="C85:J89" si="13">C36-C79</f>
        <v>-4026.5890909090886</v>
      </c>
      <c r="D85" s="60">
        <f t="shared" si="13"/>
        <v>3285.1854545454553</v>
      </c>
      <c r="E85" s="60">
        <f t="shared" si="13"/>
        <v>-1761.5854545454495</v>
      </c>
      <c r="F85" s="60">
        <f t="shared" si="13"/>
        <v>5716.2509090909098</v>
      </c>
      <c r="G85" s="60">
        <f t="shared" si="13"/>
        <v>598.05454545454586</v>
      </c>
      <c r="H85" s="60">
        <f t="shared" si="13"/>
        <v>-6654.1490909090862</v>
      </c>
      <c r="I85" s="60">
        <f t="shared" si="13"/>
        <v>14009.036363636376</v>
      </c>
      <c r="J85" s="58">
        <f t="shared" si="13"/>
        <v>13669.192727272748</v>
      </c>
      <c r="K85" s="69">
        <f>J85+E85</f>
        <v>11907.607272727299</v>
      </c>
      <c r="L85" s="138"/>
      <c r="M85" s="401"/>
      <c r="N85" s="462"/>
      <c r="O85" s="462"/>
      <c r="P85" s="462"/>
      <c r="Q85" s="462"/>
    </row>
    <row r="86" spans="1:17" hidden="1" x14ac:dyDescent="0.25">
      <c r="A86" s="90" t="s">
        <v>107</v>
      </c>
      <c r="B86" s="59" t="e">
        <f>#REF!-B80</f>
        <v>#REF!</v>
      </c>
      <c r="C86" s="59">
        <f t="shared" si="13"/>
        <v>-462.64727272727259</v>
      </c>
      <c r="D86" s="59">
        <f t="shared" si="13"/>
        <v>-1020.9999999999998</v>
      </c>
      <c r="E86" s="59">
        <f t="shared" si="13"/>
        <v>-2848.01090909091</v>
      </c>
      <c r="F86" s="59">
        <f t="shared" si="13"/>
        <v>2936.2545454545457</v>
      </c>
      <c r="G86" s="59">
        <f t="shared" si="13"/>
        <v>-1917</v>
      </c>
      <c r="H86" s="59">
        <f t="shared" si="13"/>
        <v>549.3054545454545</v>
      </c>
      <c r="I86" s="59">
        <f t="shared" si="13"/>
        <v>1609.7200000000003</v>
      </c>
      <c r="J86" s="59">
        <f t="shared" si="13"/>
        <v>3178.2799999999997</v>
      </c>
      <c r="K86" s="69">
        <f>J86+E86</f>
        <v>330.26909090908975</v>
      </c>
      <c r="L86" s="138"/>
      <c r="M86" s="401"/>
      <c r="N86" s="462"/>
      <c r="O86" s="462"/>
      <c r="P86" s="462"/>
      <c r="Q86" s="462"/>
    </row>
    <row r="87" spans="1:17" hidden="1" x14ac:dyDescent="0.25">
      <c r="A87" s="90" t="s">
        <v>108</v>
      </c>
      <c r="B87" s="59" t="e">
        <f>#REF!-B81</f>
        <v>#REF!</v>
      </c>
      <c r="C87" s="59">
        <f t="shared" si="13"/>
        <v>-4198.3709090909069</v>
      </c>
      <c r="D87" s="59">
        <f t="shared" si="13"/>
        <v>-8856.0872727272708</v>
      </c>
      <c r="E87" s="59">
        <f t="shared" si="13"/>
        <v>-13111.821818181816</v>
      </c>
      <c r="F87" s="59">
        <f t="shared" si="13"/>
        <v>-717.82909090909061</v>
      </c>
      <c r="G87" s="59">
        <f t="shared" si="13"/>
        <v>-85408</v>
      </c>
      <c r="H87" s="59">
        <f t="shared" si="13"/>
        <v>-2756.1599999999962</v>
      </c>
      <c r="I87" s="59">
        <f t="shared" si="13"/>
        <v>895.02181818181998</v>
      </c>
      <c r="J87" s="59">
        <f t="shared" si="13"/>
        <v>-87986.967272727255</v>
      </c>
      <c r="K87" s="69">
        <f>J87+E87</f>
        <v>-101098.78909090906</v>
      </c>
      <c r="L87" s="138"/>
      <c r="M87" s="401"/>
      <c r="N87" s="462"/>
      <c r="O87" s="462"/>
      <c r="P87" s="462"/>
      <c r="Q87" s="462"/>
    </row>
    <row r="88" spans="1:17" hidden="1" x14ac:dyDescent="0.25">
      <c r="A88" s="90" t="s">
        <v>109</v>
      </c>
      <c r="B88" s="59" t="e">
        <f>#REF!-B82</f>
        <v>#REF!</v>
      </c>
      <c r="C88" s="233">
        <f t="shared" si="13"/>
        <v>-1014.5054545454586</v>
      </c>
      <c r="D88" s="59">
        <f t="shared" si="13"/>
        <v>-5332.4909090909059</v>
      </c>
      <c r="E88" s="59">
        <f t="shared" si="13"/>
        <v>-6576.4509090909123</v>
      </c>
      <c r="F88" s="59">
        <f t="shared" si="13"/>
        <v>598.61090909090876</v>
      </c>
      <c r="G88" s="59">
        <f t="shared" si="13"/>
        <v>-63.305454545454722</v>
      </c>
      <c r="H88" s="59">
        <f t="shared" si="13"/>
        <v>-8782.2400000000016</v>
      </c>
      <c r="I88" s="59">
        <f t="shared" si="13"/>
        <v>-7502.0472727272463</v>
      </c>
      <c r="J88" s="59">
        <f t="shared" si="13"/>
        <v>-15748.981818181794</v>
      </c>
      <c r="K88" s="69">
        <f>J88+E88</f>
        <v>-22325.432727272706</v>
      </c>
      <c r="L88" s="138"/>
      <c r="M88" s="401"/>
      <c r="N88" s="462"/>
      <c r="O88" s="462"/>
      <c r="P88" s="462"/>
      <c r="Q88" s="462"/>
    </row>
    <row r="89" spans="1:17" hidden="1" x14ac:dyDescent="0.25">
      <c r="A89" s="90" t="s">
        <v>117</v>
      </c>
      <c r="B89" s="58" t="e">
        <f>#REF!-B83</f>
        <v>#REF!</v>
      </c>
      <c r="C89" s="58">
        <f t="shared" si="13"/>
        <v>-9702.1127272727317</v>
      </c>
      <c r="D89" s="58">
        <f t="shared" si="13"/>
        <v>-11924.392727272731</v>
      </c>
      <c r="E89" s="58">
        <f t="shared" si="13"/>
        <v>-24297.86909090908</v>
      </c>
      <c r="F89" s="58">
        <f t="shared" si="13"/>
        <v>8533.2872727272734</v>
      </c>
      <c r="G89" s="58">
        <f t="shared" si="13"/>
        <v>-86790.250909090901</v>
      </c>
      <c r="H89" s="58">
        <f t="shared" si="13"/>
        <v>-17643.243636363637</v>
      </c>
      <c r="I89" s="58">
        <f t="shared" si="13"/>
        <v>9011.7309090909548</v>
      </c>
      <c r="J89" s="58">
        <f t="shared" si="13"/>
        <v>-86888.47636363632</v>
      </c>
      <c r="K89" s="69">
        <f>J89+E89</f>
        <v>-111186.3454545454</v>
      </c>
      <c r="L89" s="138"/>
      <c r="M89" s="401"/>
      <c r="N89" s="462"/>
      <c r="O89" s="462"/>
      <c r="P89" s="462"/>
      <c r="Q89" s="462"/>
    </row>
    <row r="90" spans="1:17" ht="3.75" hidden="1" customHeight="1" x14ac:dyDescent="0.25">
      <c r="A90" s="90"/>
      <c r="B90" s="401"/>
      <c r="C90" s="401"/>
      <c r="D90" s="401"/>
      <c r="E90" s="401"/>
      <c r="F90" s="401"/>
      <c r="G90" s="401"/>
      <c r="H90" s="401"/>
      <c r="I90" s="401"/>
      <c r="J90" s="401"/>
      <c r="K90" s="72"/>
      <c r="L90" s="138"/>
      <c r="M90" s="401"/>
      <c r="N90" s="462"/>
      <c r="O90" s="462"/>
      <c r="P90" s="462"/>
      <c r="Q90" s="462"/>
    </row>
    <row r="91" spans="1:17" hidden="1" x14ac:dyDescent="0.25">
      <c r="A91" s="90"/>
      <c r="B91" s="401"/>
      <c r="C91" s="401"/>
      <c r="D91" s="2"/>
      <c r="E91" s="2"/>
      <c r="F91" s="401"/>
      <c r="G91" s="401"/>
      <c r="H91" s="401"/>
      <c r="I91" s="401"/>
      <c r="J91" s="401"/>
      <c r="K91" s="104"/>
      <c r="L91" s="138"/>
      <c r="M91" s="401"/>
      <c r="N91" s="462"/>
      <c r="O91" s="462"/>
      <c r="P91" s="462"/>
      <c r="Q91" s="462"/>
    </row>
    <row r="92" spans="1:17" ht="15.75" hidden="1" thickBot="1" x14ac:dyDescent="0.3">
      <c r="A92" s="147"/>
      <c r="B92" s="232"/>
      <c r="C92" s="232"/>
      <c r="D92" s="232"/>
      <c r="E92" s="232"/>
      <c r="F92" s="232"/>
      <c r="G92" s="232"/>
      <c r="H92" s="232"/>
      <c r="I92" s="232" t="s">
        <v>115</v>
      </c>
      <c r="J92" s="232"/>
      <c r="K92" s="172">
        <f>K83+K91</f>
        <v>571153.34545454546</v>
      </c>
      <c r="L92" s="231">
        <f>+K92/K40</f>
        <v>1.2417267879098837</v>
      </c>
      <c r="M92" s="230"/>
      <c r="N92" s="462"/>
      <c r="O92" s="462"/>
      <c r="P92" s="462"/>
      <c r="Q92" s="462"/>
    </row>
    <row r="93" spans="1:17" hidden="1" x14ac:dyDescent="0.25">
      <c r="A93" s="401"/>
      <c r="B93" s="401"/>
      <c r="C93" s="401"/>
      <c r="D93" s="401"/>
      <c r="E93" s="401"/>
      <c r="F93" s="401"/>
      <c r="G93" s="401"/>
      <c r="H93" s="401"/>
      <c r="I93" s="401"/>
      <c r="J93" s="401"/>
      <c r="K93" s="401"/>
      <c r="L93" s="462"/>
      <c r="M93" s="462"/>
      <c r="N93" s="462"/>
      <c r="O93" s="462"/>
      <c r="P93" s="462"/>
      <c r="Q93" s="462"/>
    </row>
    <row r="94" spans="1:17" hidden="1" x14ac:dyDescent="0.25">
      <c r="A94" s="173" t="s">
        <v>118</v>
      </c>
      <c r="B94" s="462"/>
      <c r="C94" s="462"/>
      <c r="D94" s="462"/>
      <c r="E94" s="462"/>
      <c r="F94" s="462"/>
      <c r="G94" s="462"/>
      <c r="H94" s="462"/>
      <c r="I94" s="462"/>
      <c r="J94" s="462"/>
      <c r="K94" s="92"/>
      <c r="L94" s="462"/>
      <c r="M94" s="462"/>
      <c r="N94" s="462"/>
      <c r="O94" s="462"/>
      <c r="P94" s="462"/>
      <c r="Q94" s="462"/>
    </row>
    <row r="95" spans="1:17" hidden="1" x14ac:dyDescent="0.25">
      <c r="A95" s="229" t="s">
        <v>119</v>
      </c>
      <c r="B95" s="462"/>
      <c r="C95" s="462"/>
      <c r="D95" s="462"/>
      <c r="E95" s="462"/>
      <c r="F95" s="462"/>
      <c r="G95" s="462"/>
      <c r="H95" s="228"/>
      <c r="I95" s="462"/>
      <c r="J95" s="462"/>
      <c r="K95" s="92"/>
      <c r="L95" s="462"/>
      <c r="M95" s="462"/>
      <c r="N95" s="462"/>
      <c r="O95" s="462"/>
      <c r="P95" s="462"/>
      <c r="Q95" s="462"/>
    </row>
    <row r="96" spans="1:17" hidden="1" x14ac:dyDescent="0.25">
      <c r="A96" s="227" t="s">
        <v>120</v>
      </c>
      <c r="B96" s="227"/>
      <c r="C96" s="227"/>
      <c r="D96" s="462"/>
      <c r="E96" s="462"/>
      <c r="F96" s="462"/>
      <c r="G96" s="462"/>
      <c r="H96" s="462"/>
      <c r="I96" s="462"/>
      <c r="J96" s="462"/>
      <c r="K96" s="462"/>
      <c r="L96" s="462"/>
      <c r="M96" s="462"/>
      <c r="N96" s="462"/>
      <c r="O96" s="462"/>
      <c r="P96" s="462"/>
      <c r="Q96" s="462"/>
    </row>
    <row r="97" spans="1:11" hidden="1" x14ac:dyDescent="0.25">
      <c r="A97" s="226" t="s">
        <v>121</v>
      </c>
      <c r="B97" s="226"/>
      <c r="C97" s="226"/>
      <c r="D97" s="462"/>
      <c r="E97" s="462"/>
      <c r="F97" s="462"/>
      <c r="G97" s="462"/>
      <c r="H97" s="462"/>
      <c r="I97" s="462"/>
      <c r="J97" s="462"/>
      <c r="K97" s="92"/>
    </row>
    <row r="98" spans="1:11" hidden="1" x14ac:dyDescent="0.25">
      <c r="A98" s="225" t="s">
        <v>122</v>
      </c>
      <c r="B98" s="225"/>
      <c r="C98" s="225"/>
      <c r="D98" s="225"/>
      <c r="E98" s="462"/>
      <c r="F98" s="462"/>
      <c r="G98" s="462"/>
      <c r="H98" s="462"/>
      <c r="I98" s="462"/>
      <c r="J98" s="462"/>
      <c r="K98" s="462"/>
    </row>
    <row r="99" spans="1:11" hidden="1" x14ac:dyDescent="0.25">
      <c r="A99" s="105" t="s">
        <v>123</v>
      </c>
      <c r="B99" s="462"/>
      <c r="C99" s="462"/>
      <c r="D99" s="462"/>
      <c r="E99" s="462"/>
      <c r="F99" s="462"/>
      <c r="G99" s="462"/>
      <c r="H99" s="462"/>
      <c r="I99" s="462"/>
      <c r="J99" s="462"/>
      <c r="K99" s="462"/>
    </row>
    <row r="100" spans="1:11" hidden="1" x14ac:dyDescent="0.25">
      <c r="A100" s="462"/>
      <c r="B100" s="462"/>
      <c r="C100" s="462"/>
      <c r="D100" s="462"/>
      <c r="E100" s="462"/>
      <c r="F100" s="462"/>
      <c r="G100" s="462"/>
      <c r="H100" s="462"/>
      <c r="I100" s="462"/>
      <c r="J100" s="462"/>
      <c r="K100" s="462"/>
    </row>
  </sheetData>
  <mergeCells count="13">
    <mergeCell ref="B84:E84"/>
    <mergeCell ref="F43:K43"/>
    <mergeCell ref="F77:K77"/>
    <mergeCell ref="F84:K84"/>
    <mergeCell ref="H30:L30"/>
    <mergeCell ref="B34:E34"/>
    <mergeCell ref="F34:K34"/>
    <mergeCell ref="B43:E43"/>
    <mergeCell ref="B77:E77"/>
    <mergeCell ref="B51:E51"/>
    <mergeCell ref="F51:K51"/>
    <mergeCell ref="B59:E59"/>
    <mergeCell ref="F59:K59"/>
  </mergeCells>
  <pageMargins left="0.25" right="0.25" top="0.25" bottom="0.25" header="0.3" footer="0.3"/>
  <pageSetup scale="77" orientation="landscape" r:id="rId1"/>
  <rowBreaks count="1" manualBreakCount="1">
    <brk id="3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H38"/>
  <sheetViews>
    <sheetView zoomScale="120" zoomScaleNormal="120" workbookViewId="0">
      <pane xSplit="7" ySplit="3" topLeftCell="CI16" activePane="bottomRight" state="frozenSplit"/>
      <selection pane="topRight" activeCell="H1" sqref="H1"/>
      <selection pane="bottomLeft" activeCell="A4" sqref="A4"/>
      <selection pane="bottomRight" activeCell="CX41" sqref="CX41"/>
    </sheetView>
  </sheetViews>
  <sheetFormatPr defaultRowHeight="15" x14ac:dyDescent="0.25"/>
  <cols>
    <col min="1" max="4" width="3" style="463" customWidth="1"/>
    <col min="5" max="5" width="33" style="463" customWidth="1"/>
    <col min="6" max="6" width="12.5703125" style="464" bestFit="1" customWidth="1"/>
    <col min="7" max="7" width="2.28515625" style="464" customWidth="1"/>
    <col min="8" max="8" width="8.42578125" style="464" bestFit="1" customWidth="1"/>
    <col min="9" max="9" width="2.28515625" style="464" customWidth="1"/>
    <col min="10" max="10" width="12.5703125" style="464" bestFit="1" customWidth="1"/>
    <col min="11" max="11" width="2.28515625" style="464" customWidth="1"/>
    <col min="12" max="12" width="6.5703125" style="464" bestFit="1" customWidth="1"/>
    <col min="13" max="13" width="2.28515625" style="464" customWidth="1"/>
    <col min="14" max="14" width="12.5703125" style="464" bestFit="1" customWidth="1"/>
    <col min="15" max="15" width="2.28515625" style="464" customWidth="1"/>
    <col min="16" max="16" width="8.7109375" style="464" bestFit="1" customWidth="1"/>
    <col min="17" max="17" width="2.28515625" style="464" customWidth="1"/>
    <col min="18" max="18" width="12.5703125" style="464" bestFit="1" customWidth="1"/>
    <col min="19" max="19" width="2.28515625" style="464" customWidth="1"/>
    <col min="20" max="20" width="8.7109375" style="464" bestFit="1" customWidth="1"/>
    <col min="21" max="21" width="2.28515625" style="464" customWidth="1"/>
    <col min="22" max="22" width="12.5703125" style="464" bestFit="1" customWidth="1"/>
    <col min="23" max="23" width="2.28515625" style="464" customWidth="1"/>
    <col min="24" max="24" width="7.85546875" style="464" bestFit="1" customWidth="1"/>
    <col min="25" max="25" width="2.28515625" style="464" customWidth="1"/>
    <col min="26" max="26" width="12.5703125" style="464" bestFit="1" customWidth="1"/>
    <col min="27" max="27" width="2.28515625" style="464" customWidth="1"/>
    <col min="28" max="28" width="7.5703125" style="464" bestFit="1" customWidth="1"/>
    <col min="29" max="29" width="2.28515625" style="464" customWidth="1"/>
    <col min="30" max="30" width="12.5703125" style="464" bestFit="1" customWidth="1"/>
    <col min="31" max="31" width="2.28515625" style="464" customWidth="1"/>
    <col min="32" max="32" width="8.42578125" style="464" bestFit="1" customWidth="1"/>
    <col min="33" max="33" width="2.28515625" style="464" customWidth="1"/>
    <col min="34" max="34" width="12.5703125" style="464" bestFit="1" customWidth="1"/>
    <col min="35" max="35" width="2.28515625" style="464" customWidth="1"/>
    <col min="36" max="36" width="6.5703125" style="464" bestFit="1" customWidth="1"/>
    <col min="37" max="37" width="2.28515625" style="464" customWidth="1"/>
    <col min="38" max="38" width="12.5703125" style="464" bestFit="1" customWidth="1"/>
    <col min="39" max="39" width="2.28515625" style="464" customWidth="1"/>
    <col min="40" max="40" width="8.42578125" style="464" bestFit="1" customWidth="1"/>
    <col min="41" max="41" width="2.28515625" style="464" customWidth="1"/>
    <col min="42" max="42" width="12.5703125" style="464" bestFit="1" customWidth="1"/>
    <col min="43" max="43" width="2.28515625" style="464" customWidth="1"/>
    <col min="44" max="44" width="7.5703125" style="464" bestFit="1" customWidth="1"/>
    <col min="45" max="45" width="2.28515625" style="464" customWidth="1"/>
    <col min="46" max="46" width="12.5703125" style="464" bestFit="1" customWidth="1"/>
    <col min="47" max="47" width="2.28515625" style="464" customWidth="1"/>
    <col min="48" max="48" width="8.42578125" style="464" bestFit="1" customWidth="1"/>
    <col min="49" max="49" width="2.28515625" style="464" customWidth="1"/>
    <col min="50" max="50" width="12.5703125" style="464" bestFit="1" customWidth="1"/>
    <col min="51" max="51" width="2.28515625" style="464" customWidth="1"/>
    <col min="52" max="52" width="7.85546875" style="464" bestFit="1" customWidth="1"/>
    <col min="53" max="53" width="2.28515625" style="464" customWidth="1"/>
    <col min="54" max="54" width="12.5703125" style="464" bestFit="1" customWidth="1"/>
    <col min="55" max="55" width="2.28515625" style="464" customWidth="1"/>
    <col min="56" max="56" width="8.7109375" style="464" bestFit="1" customWidth="1"/>
    <col min="57" max="57" width="2.28515625" style="464" customWidth="1"/>
    <col min="58" max="58" width="12.5703125" style="464" bestFit="1" customWidth="1"/>
    <col min="59" max="59" width="2.28515625" style="464" customWidth="1"/>
    <col min="60" max="60" width="6.5703125" style="464" bestFit="1" customWidth="1"/>
    <col min="61" max="61" width="2.28515625" style="464" customWidth="1"/>
    <col min="62" max="62" width="12.5703125" style="464" bestFit="1" customWidth="1"/>
    <col min="63" max="63" width="2.28515625" style="464" customWidth="1"/>
    <col min="64" max="64" width="8.7109375" style="464" bestFit="1" customWidth="1"/>
    <col min="65" max="65" width="2.28515625" style="464" customWidth="1"/>
    <col min="66" max="66" width="12.5703125" style="464" bestFit="1" customWidth="1"/>
    <col min="67" max="67" width="2.28515625" style="464" customWidth="1"/>
    <col min="68" max="68" width="8.42578125" style="464" bestFit="1" customWidth="1"/>
    <col min="69" max="69" width="2.28515625" style="464" customWidth="1"/>
    <col min="70" max="70" width="12.5703125" style="464" bestFit="1" customWidth="1"/>
    <col min="71" max="71" width="2.28515625" style="464" customWidth="1"/>
    <col min="72" max="72" width="8.42578125" style="464" bestFit="1" customWidth="1"/>
    <col min="73" max="73" width="2.28515625" style="464" customWidth="1"/>
    <col min="74" max="74" width="12.5703125" style="464" bestFit="1" customWidth="1"/>
    <col min="75" max="75" width="2.28515625" style="464" customWidth="1"/>
    <col min="76" max="76" width="8.42578125" style="464" bestFit="1" customWidth="1"/>
    <col min="77" max="77" width="2.28515625" style="464" customWidth="1"/>
    <col min="78" max="78" width="12.5703125" style="464" bestFit="1" customWidth="1"/>
    <col min="79" max="79" width="2.28515625" style="464" customWidth="1"/>
    <col min="80" max="80" width="9.28515625" style="464" bestFit="1" customWidth="1"/>
    <col min="81" max="81" width="2.28515625" style="464" customWidth="1"/>
    <col min="82" max="82" width="12.5703125" style="464" bestFit="1" customWidth="1"/>
    <col min="83" max="83" width="2.28515625" style="464" customWidth="1"/>
    <col min="84" max="84" width="6.5703125" style="464" bestFit="1" customWidth="1"/>
    <col min="85" max="85" width="2.28515625" style="464" customWidth="1"/>
    <col min="86" max="86" width="12.5703125" style="464" bestFit="1" customWidth="1"/>
    <col min="87" max="87" width="2.28515625" style="464" customWidth="1"/>
    <col min="88" max="88" width="9.28515625" style="464" bestFit="1" customWidth="1"/>
    <col min="89" max="89" width="2.28515625" style="464" customWidth="1"/>
    <col min="90" max="90" width="12.5703125" style="464" bestFit="1" customWidth="1"/>
    <col min="91" max="91" width="2.28515625" style="464" customWidth="1"/>
    <col min="92" max="92" width="6.5703125" style="464" bestFit="1" customWidth="1"/>
    <col min="93" max="93" width="2.28515625" style="464" customWidth="1"/>
    <col min="94" max="94" width="12.5703125" style="464" bestFit="1" customWidth="1"/>
    <col min="95" max="95" width="2.28515625" style="464" customWidth="1"/>
    <col min="96" max="96" width="6.5703125" style="464" bestFit="1" customWidth="1"/>
    <col min="97" max="97" width="2.28515625" style="464" customWidth="1"/>
    <col min="98" max="98" width="12.5703125" style="464" bestFit="1" customWidth="1"/>
    <col min="99" max="99" width="2.28515625" style="464" customWidth="1"/>
    <col min="100" max="100" width="6.5703125" style="464" bestFit="1" customWidth="1"/>
    <col min="101" max="101" width="2.28515625" style="464" customWidth="1"/>
    <col min="102" max="102" width="12.5703125" style="464" bestFit="1" customWidth="1"/>
    <col min="103" max="103" width="2.28515625" style="464" customWidth="1"/>
    <col min="104" max="104" width="6.5703125" style="464" bestFit="1" customWidth="1"/>
    <col min="105" max="105" width="2.28515625" style="464" customWidth="1"/>
    <col min="106" max="106" width="12.5703125" style="464" bestFit="1" customWidth="1"/>
    <col min="107" max="107" width="2.28515625" style="464" customWidth="1"/>
    <col min="108" max="108" width="6.5703125" style="464" bestFit="1" customWidth="1"/>
    <col min="109" max="109" width="2.28515625" style="464" customWidth="1"/>
    <col min="110" max="110" width="12.5703125" style="464" bestFit="1" customWidth="1"/>
    <col min="111" max="111" width="2.28515625" style="464" customWidth="1"/>
    <col min="112" max="112" width="8.7109375" style="464" bestFit="1" customWidth="1"/>
    <col min="113" max="16384" width="9.140625" style="462"/>
  </cols>
  <sheetData>
    <row r="1" spans="1:112" x14ac:dyDescent="0.25">
      <c r="A1" s="485"/>
      <c r="B1" s="485"/>
      <c r="C1" s="485"/>
      <c r="D1" s="485"/>
      <c r="E1" s="485"/>
      <c r="F1" s="305" t="s">
        <v>124</v>
      </c>
      <c r="G1" s="306"/>
      <c r="H1" s="306"/>
      <c r="I1" s="307"/>
      <c r="J1" s="305" t="s">
        <v>125</v>
      </c>
      <c r="K1" s="306"/>
      <c r="L1" s="306"/>
      <c r="M1" s="307"/>
      <c r="N1" s="305" t="s">
        <v>126</v>
      </c>
      <c r="O1" s="306"/>
      <c r="P1" s="306"/>
      <c r="Q1" s="307"/>
      <c r="R1" s="306"/>
      <c r="S1" s="306"/>
      <c r="T1" s="306"/>
      <c r="U1" s="307"/>
      <c r="V1" s="306"/>
      <c r="W1" s="306"/>
      <c r="X1" s="306"/>
      <c r="Y1" s="307"/>
      <c r="Z1" s="305" t="s">
        <v>127</v>
      </c>
      <c r="AA1" s="306"/>
      <c r="AB1" s="306"/>
      <c r="AC1" s="307"/>
      <c r="AD1" s="305" t="s">
        <v>128</v>
      </c>
      <c r="AE1" s="306"/>
      <c r="AF1" s="306"/>
      <c r="AG1" s="307"/>
      <c r="AH1" s="305" t="s">
        <v>129</v>
      </c>
      <c r="AI1" s="306"/>
      <c r="AJ1" s="306"/>
      <c r="AK1" s="307"/>
      <c r="AL1" s="305" t="s">
        <v>130</v>
      </c>
      <c r="AM1" s="306"/>
      <c r="AN1" s="306"/>
      <c r="AO1" s="307"/>
      <c r="AP1" s="305" t="s">
        <v>131</v>
      </c>
      <c r="AQ1" s="306"/>
      <c r="AR1" s="306"/>
      <c r="AS1" s="307"/>
      <c r="AT1" s="305" t="s">
        <v>132</v>
      </c>
      <c r="AU1" s="306"/>
      <c r="AV1" s="306"/>
      <c r="AW1" s="307"/>
      <c r="AX1" s="305" t="s">
        <v>133</v>
      </c>
      <c r="AY1" s="306"/>
      <c r="AZ1" s="306"/>
      <c r="BA1" s="307"/>
      <c r="BB1" s="305" t="s">
        <v>134</v>
      </c>
      <c r="BC1" s="306"/>
      <c r="BD1" s="306"/>
      <c r="BE1" s="307"/>
      <c r="BF1" s="305" t="s">
        <v>135</v>
      </c>
      <c r="BG1" s="306"/>
      <c r="BH1" s="306"/>
      <c r="BI1" s="307"/>
      <c r="BJ1" s="305" t="s">
        <v>136</v>
      </c>
      <c r="BK1" s="306"/>
      <c r="BL1" s="306"/>
      <c r="BM1" s="307"/>
      <c r="BN1" s="305" t="s">
        <v>137</v>
      </c>
      <c r="BO1" s="306"/>
      <c r="BP1" s="306"/>
      <c r="BQ1" s="307"/>
      <c r="BR1" s="305" t="s">
        <v>138</v>
      </c>
      <c r="BS1" s="306"/>
      <c r="BT1" s="306"/>
      <c r="BU1" s="307"/>
      <c r="BV1" s="305" t="s">
        <v>139</v>
      </c>
      <c r="BW1" s="306"/>
      <c r="BX1" s="306"/>
      <c r="BY1" s="307"/>
      <c r="BZ1" s="305" t="s">
        <v>140</v>
      </c>
      <c r="CA1" s="306"/>
      <c r="CB1" s="306"/>
      <c r="CC1" s="307"/>
      <c r="CD1" s="305" t="s">
        <v>141</v>
      </c>
      <c r="CE1" s="306"/>
      <c r="CF1" s="306"/>
      <c r="CG1" s="307"/>
      <c r="CH1" s="306"/>
      <c r="CI1" s="306"/>
      <c r="CJ1" s="306"/>
      <c r="CK1" s="307"/>
      <c r="CL1" s="305" t="s">
        <v>142</v>
      </c>
      <c r="CM1" s="306"/>
      <c r="CN1" s="306"/>
      <c r="CO1" s="307"/>
      <c r="CP1" s="305" t="s">
        <v>143</v>
      </c>
      <c r="CQ1" s="306"/>
      <c r="CR1" s="306"/>
      <c r="CS1" s="307"/>
      <c r="CT1" s="305" t="s">
        <v>144</v>
      </c>
      <c r="CU1" s="306"/>
      <c r="CV1" s="306"/>
      <c r="CW1" s="307"/>
      <c r="CX1" s="306"/>
      <c r="CY1" s="306"/>
      <c r="CZ1" s="306"/>
      <c r="DA1" s="307"/>
      <c r="DB1" s="306"/>
      <c r="DC1" s="306"/>
      <c r="DD1" s="306"/>
      <c r="DE1" s="307"/>
      <c r="DF1" s="306"/>
      <c r="DG1" s="306"/>
      <c r="DH1" s="306"/>
    </row>
    <row r="2" spans="1:112" ht="15.75" thickBot="1" x14ac:dyDescent="0.3">
      <c r="A2" s="485"/>
      <c r="B2" s="485"/>
      <c r="C2" s="485"/>
      <c r="D2" s="485"/>
      <c r="E2" s="485"/>
      <c r="F2" s="305" t="s">
        <v>145</v>
      </c>
      <c r="G2" s="308"/>
      <c r="H2" s="306"/>
      <c r="I2" s="307"/>
      <c r="J2" s="305" t="s">
        <v>145</v>
      </c>
      <c r="K2" s="308"/>
      <c r="L2" s="306"/>
      <c r="M2" s="307"/>
      <c r="N2" s="305" t="s">
        <v>145</v>
      </c>
      <c r="O2" s="308"/>
      <c r="P2" s="306"/>
      <c r="Q2" s="307"/>
      <c r="R2" s="305" t="s">
        <v>146</v>
      </c>
      <c r="S2" s="308"/>
      <c r="T2" s="306"/>
      <c r="U2" s="307"/>
      <c r="V2" s="305" t="s">
        <v>147</v>
      </c>
      <c r="W2" s="308"/>
      <c r="X2" s="306"/>
      <c r="Y2" s="307"/>
      <c r="Z2" s="305" t="s">
        <v>148</v>
      </c>
      <c r="AA2" s="308"/>
      <c r="AB2" s="306"/>
      <c r="AC2" s="307"/>
      <c r="AD2" s="305" t="s">
        <v>148</v>
      </c>
      <c r="AE2" s="308"/>
      <c r="AF2" s="306"/>
      <c r="AG2" s="307"/>
      <c r="AH2" s="305" t="s">
        <v>148</v>
      </c>
      <c r="AI2" s="308"/>
      <c r="AJ2" s="306"/>
      <c r="AK2" s="307"/>
      <c r="AL2" s="305" t="s">
        <v>149</v>
      </c>
      <c r="AM2" s="308"/>
      <c r="AN2" s="306"/>
      <c r="AO2" s="307"/>
      <c r="AP2" s="305" t="s">
        <v>149</v>
      </c>
      <c r="AQ2" s="308"/>
      <c r="AR2" s="306"/>
      <c r="AS2" s="307"/>
      <c r="AT2" s="305" t="s">
        <v>149</v>
      </c>
      <c r="AU2" s="308"/>
      <c r="AV2" s="306"/>
      <c r="AW2" s="307"/>
      <c r="AX2" s="305" t="s">
        <v>150</v>
      </c>
      <c r="AY2" s="308"/>
      <c r="AZ2" s="306"/>
      <c r="BA2" s="307"/>
      <c r="BB2" s="305" t="s">
        <v>150</v>
      </c>
      <c r="BC2" s="308"/>
      <c r="BD2" s="306"/>
      <c r="BE2" s="307"/>
      <c r="BF2" s="305" t="s">
        <v>150</v>
      </c>
      <c r="BG2" s="308"/>
      <c r="BH2" s="306"/>
      <c r="BI2" s="307"/>
      <c r="BJ2" s="305" t="s">
        <v>149</v>
      </c>
      <c r="BK2" s="308"/>
      <c r="BL2" s="306"/>
      <c r="BM2" s="307"/>
      <c r="BN2" s="305" t="s">
        <v>151</v>
      </c>
      <c r="BO2" s="308"/>
      <c r="BP2" s="306"/>
      <c r="BQ2" s="307"/>
      <c r="BR2" s="305" t="s">
        <v>151</v>
      </c>
      <c r="BS2" s="308"/>
      <c r="BT2" s="306"/>
      <c r="BU2" s="307"/>
      <c r="BV2" s="305" t="s">
        <v>151</v>
      </c>
      <c r="BW2" s="308"/>
      <c r="BX2" s="306"/>
      <c r="BY2" s="307"/>
      <c r="BZ2" s="305" t="s">
        <v>149</v>
      </c>
      <c r="CA2" s="308"/>
      <c r="CB2" s="306"/>
      <c r="CC2" s="307"/>
      <c r="CD2" s="305" t="s">
        <v>149</v>
      </c>
      <c r="CE2" s="308"/>
      <c r="CF2" s="306"/>
      <c r="CG2" s="307"/>
      <c r="CH2" s="305" t="s">
        <v>152</v>
      </c>
      <c r="CI2" s="308"/>
      <c r="CJ2" s="306"/>
      <c r="CK2" s="307"/>
      <c r="CL2" s="305" t="s">
        <v>153</v>
      </c>
      <c r="CM2" s="308"/>
      <c r="CN2" s="306"/>
      <c r="CO2" s="307"/>
      <c r="CP2" s="305" t="s">
        <v>153</v>
      </c>
      <c r="CQ2" s="308"/>
      <c r="CR2" s="306"/>
      <c r="CS2" s="307"/>
      <c r="CT2" s="305" t="s">
        <v>153</v>
      </c>
      <c r="CU2" s="308"/>
      <c r="CV2" s="306"/>
      <c r="CW2" s="307"/>
      <c r="CX2" s="305" t="s">
        <v>154</v>
      </c>
      <c r="CY2" s="308"/>
      <c r="CZ2" s="306"/>
      <c r="DA2" s="307"/>
      <c r="DB2" s="305" t="s">
        <v>155</v>
      </c>
      <c r="DC2" s="308"/>
      <c r="DD2" s="306"/>
      <c r="DE2" s="307"/>
      <c r="DF2" s="305" t="s">
        <v>156</v>
      </c>
      <c r="DG2" s="308"/>
      <c r="DH2" s="306"/>
    </row>
    <row r="3" spans="1:112" s="466" customFormat="1" ht="16.5" thickTop="1" thickBot="1" x14ac:dyDescent="0.3">
      <c r="A3" s="465"/>
      <c r="B3" s="465"/>
      <c r="C3" s="465"/>
      <c r="D3" s="465"/>
      <c r="E3" s="465"/>
      <c r="F3" s="309" t="s">
        <v>506</v>
      </c>
      <c r="G3" s="310"/>
      <c r="H3" s="309" t="s">
        <v>56</v>
      </c>
      <c r="I3" s="310"/>
      <c r="J3" s="309" t="s">
        <v>506</v>
      </c>
      <c r="K3" s="310"/>
      <c r="L3" s="309" t="s">
        <v>56</v>
      </c>
      <c r="M3" s="310"/>
      <c r="N3" s="309" t="s">
        <v>506</v>
      </c>
      <c r="O3" s="310"/>
      <c r="P3" s="309" t="s">
        <v>56</v>
      </c>
      <c r="Q3" s="310"/>
      <c r="R3" s="309" t="s">
        <v>506</v>
      </c>
      <c r="S3" s="310"/>
      <c r="T3" s="309" t="s">
        <v>56</v>
      </c>
      <c r="U3" s="310"/>
      <c r="V3" s="309" t="s">
        <v>506</v>
      </c>
      <c r="W3" s="310"/>
      <c r="X3" s="309" t="s">
        <v>56</v>
      </c>
      <c r="Y3" s="310"/>
      <c r="Z3" s="309" t="s">
        <v>506</v>
      </c>
      <c r="AA3" s="310"/>
      <c r="AB3" s="309" t="s">
        <v>56</v>
      </c>
      <c r="AC3" s="310"/>
      <c r="AD3" s="309" t="s">
        <v>506</v>
      </c>
      <c r="AE3" s="310"/>
      <c r="AF3" s="309" t="s">
        <v>56</v>
      </c>
      <c r="AG3" s="310"/>
      <c r="AH3" s="309" t="s">
        <v>506</v>
      </c>
      <c r="AI3" s="310"/>
      <c r="AJ3" s="309" t="s">
        <v>56</v>
      </c>
      <c r="AK3" s="310"/>
      <c r="AL3" s="309" t="s">
        <v>506</v>
      </c>
      <c r="AM3" s="310"/>
      <c r="AN3" s="309" t="s">
        <v>56</v>
      </c>
      <c r="AO3" s="310"/>
      <c r="AP3" s="309" t="s">
        <v>506</v>
      </c>
      <c r="AQ3" s="310"/>
      <c r="AR3" s="309" t="s">
        <v>56</v>
      </c>
      <c r="AS3" s="310"/>
      <c r="AT3" s="309" t="s">
        <v>506</v>
      </c>
      <c r="AU3" s="310"/>
      <c r="AV3" s="309" t="s">
        <v>56</v>
      </c>
      <c r="AW3" s="310"/>
      <c r="AX3" s="309" t="s">
        <v>506</v>
      </c>
      <c r="AY3" s="310"/>
      <c r="AZ3" s="309" t="s">
        <v>56</v>
      </c>
      <c r="BA3" s="310"/>
      <c r="BB3" s="309" t="s">
        <v>506</v>
      </c>
      <c r="BC3" s="310"/>
      <c r="BD3" s="309" t="s">
        <v>56</v>
      </c>
      <c r="BE3" s="310"/>
      <c r="BF3" s="309" t="s">
        <v>506</v>
      </c>
      <c r="BG3" s="310"/>
      <c r="BH3" s="309" t="s">
        <v>56</v>
      </c>
      <c r="BI3" s="310"/>
      <c r="BJ3" s="309" t="s">
        <v>506</v>
      </c>
      <c r="BK3" s="310"/>
      <c r="BL3" s="309" t="s">
        <v>56</v>
      </c>
      <c r="BM3" s="310"/>
      <c r="BN3" s="309" t="s">
        <v>506</v>
      </c>
      <c r="BO3" s="310"/>
      <c r="BP3" s="309" t="s">
        <v>56</v>
      </c>
      <c r="BQ3" s="310"/>
      <c r="BR3" s="309" t="s">
        <v>506</v>
      </c>
      <c r="BS3" s="310"/>
      <c r="BT3" s="309" t="s">
        <v>56</v>
      </c>
      <c r="BU3" s="310"/>
      <c r="BV3" s="309" t="s">
        <v>506</v>
      </c>
      <c r="BW3" s="310"/>
      <c r="BX3" s="309" t="s">
        <v>56</v>
      </c>
      <c r="BY3" s="310"/>
      <c r="BZ3" s="309" t="s">
        <v>506</v>
      </c>
      <c r="CA3" s="310"/>
      <c r="CB3" s="309" t="s">
        <v>56</v>
      </c>
      <c r="CC3" s="310"/>
      <c r="CD3" s="309" t="s">
        <v>506</v>
      </c>
      <c r="CE3" s="310"/>
      <c r="CF3" s="309" t="s">
        <v>56</v>
      </c>
      <c r="CG3" s="310"/>
      <c r="CH3" s="309" t="s">
        <v>506</v>
      </c>
      <c r="CI3" s="310"/>
      <c r="CJ3" s="309" t="s">
        <v>56</v>
      </c>
      <c r="CK3" s="310"/>
      <c r="CL3" s="309" t="s">
        <v>506</v>
      </c>
      <c r="CM3" s="310"/>
      <c r="CN3" s="309" t="s">
        <v>56</v>
      </c>
      <c r="CO3" s="310"/>
      <c r="CP3" s="309" t="s">
        <v>506</v>
      </c>
      <c r="CQ3" s="310"/>
      <c r="CR3" s="309" t="s">
        <v>56</v>
      </c>
      <c r="CS3" s="310"/>
      <c r="CT3" s="309" t="s">
        <v>506</v>
      </c>
      <c r="CU3" s="310"/>
      <c r="CV3" s="309" t="s">
        <v>56</v>
      </c>
      <c r="CW3" s="310"/>
      <c r="CX3" s="309" t="s">
        <v>506</v>
      </c>
      <c r="CY3" s="310"/>
      <c r="CZ3" s="309" t="s">
        <v>56</v>
      </c>
      <c r="DA3" s="310"/>
      <c r="DB3" s="309" t="s">
        <v>506</v>
      </c>
      <c r="DC3" s="310"/>
      <c r="DD3" s="309" t="s">
        <v>56</v>
      </c>
      <c r="DE3" s="310"/>
      <c r="DF3" s="309" t="s">
        <v>506</v>
      </c>
      <c r="DG3" s="310"/>
      <c r="DH3" s="309" t="s">
        <v>56</v>
      </c>
    </row>
    <row r="4" spans="1:112" ht="15.75" thickTop="1" x14ac:dyDescent="0.25">
      <c r="A4" s="485"/>
      <c r="B4" s="485" t="s">
        <v>157</v>
      </c>
      <c r="C4" s="485"/>
      <c r="D4" s="485"/>
      <c r="E4" s="485"/>
      <c r="F4" s="468"/>
      <c r="G4" s="312"/>
      <c r="H4" s="468"/>
      <c r="I4" s="312"/>
      <c r="J4" s="468"/>
      <c r="K4" s="312"/>
      <c r="L4" s="312"/>
      <c r="M4" s="312"/>
      <c r="N4" s="468"/>
      <c r="O4" s="312"/>
      <c r="P4" s="468"/>
      <c r="Q4" s="312"/>
      <c r="R4" s="468"/>
      <c r="S4" s="312"/>
      <c r="T4" s="468"/>
      <c r="U4" s="312"/>
      <c r="V4" s="468"/>
      <c r="W4" s="312"/>
      <c r="X4" s="468"/>
      <c r="Y4" s="312"/>
      <c r="Z4" s="468"/>
      <c r="AA4" s="312"/>
      <c r="AB4" s="468"/>
      <c r="AC4" s="312"/>
      <c r="AD4" s="468"/>
      <c r="AE4" s="312"/>
      <c r="AF4" s="468"/>
      <c r="AG4" s="312"/>
      <c r="AH4" s="468"/>
      <c r="AI4" s="312"/>
      <c r="AJ4" s="312"/>
      <c r="AK4" s="312"/>
      <c r="AL4" s="468"/>
      <c r="AM4" s="312"/>
      <c r="AN4" s="468"/>
      <c r="AO4" s="312"/>
      <c r="AP4" s="468"/>
      <c r="AQ4" s="312"/>
      <c r="AR4" s="468"/>
      <c r="AS4" s="312"/>
      <c r="AT4" s="468"/>
      <c r="AU4" s="312"/>
      <c r="AV4" s="468"/>
      <c r="AW4" s="312"/>
      <c r="AX4" s="468"/>
      <c r="AY4" s="312"/>
      <c r="AZ4" s="468"/>
      <c r="BA4" s="312"/>
      <c r="BB4" s="468"/>
      <c r="BC4" s="312"/>
      <c r="BD4" s="468"/>
      <c r="BE4" s="312"/>
      <c r="BF4" s="468"/>
      <c r="BG4" s="312"/>
      <c r="BH4" s="312"/>
      <c r="BI4" s="312"/>
      <c r="BJ4" s="468"/>
      <c r="BK4" s="312"/>
      <c r="BL4" s="468"/>
      <c r="BM4" s="312"/>
      <c r="BN4" s="468"/>
      <c r="BO4" s="312"/>
      <c r="BP4" s="468"/>
      <c r="BQ4" s="312"/>
      <c r="BR4" s="468"/>
      <c r="BS4" s="312"/>
      <c r="BT4" s="468"/>
      <c r="BU4" s="312"/>
      <c r="BV4" s="468"/>
      <c r="BW4" s="312"/>
      <c r="BX4" s="468"/>
      <c r="BY4" s="312"/>
      <c r="BZ4" s="468"/>
      <c r="CA4" s="312"/>
      <c r="CB4" s="468"/>
      <c r="CC4" s="312"/>
      <c r="CD4" s="468"/>
      <c r="CE4" s="312"/>
      <c r="CF4" s="312"/>
      <c r="CG4" s="312"/>
      <c r="CH4" s="468"/>
      <c r="CI4" s="312"/>
      <c r="CJ4" s="468"/>
      <c r="CK4" s="312"/>
      <c r="CL4" s="468"/>
      <c r="CM4" s="312"/>
      <c r="CN4" s="312"/>
      <c r="CO4" s="312"/>
      <c r="CP4" s="468"/>
      <c r="CQ4" s="312"/>
      <c r="CR4" s="312"/>
      <c r="CS4" s="312"/>
      <c r="CT4" s="468"/>
      <c r="CU4" s="312"/>
      <c r="CV4" s="312"/>
      <c r="CW4" s="312"/>
      <c r="CX4" s="468"/>
      <c r="CY4" s="312"/>
      <c r="CZ4" s="312"/>
      <c r="DA4" s="312"/>
      <c r="DB4" s="468"/>
      <c r="DC4" s="312"/>
      <c r="DD4" s="468"/>
      <c r="DE4" s="312"/>
      <c r="DF4" s="468"/>
      <c r="DG4" s="312"/>
      <c r="DH4" s="468"/>
    </row>
    <row r="5" spans="1:112" x14ac:dyDescent="0.25">
      <c r="A5" s="485"/>
      <c r="B5" s="485"/>
      <c r="C5" s="485"/>
      <c r="D5" s="485" t="s">
        <v>158</v>
      </c>
      <c r="E5" s="485"/>
      <c r="F5" s="468"/>
      <c r="G5" s="312"/>
      <c r="H5" s="468"/>
      <c r="I5" s="312"/>
      <c r="J5" s="468"/>
      <c r="K5" s="312"/>
      <c r="L5" s="312"/>
      <c r="M5" s="312"/>
      <c r="N5" s="468"/>
      <c r="O5" s="312"/>
      <c r="P5" s="468"/>
      <c r="Q5" s="312"/>
      <c r="R5" s="468"/>
      <c r="S5" s="312"/>
      <c r="T5" s="468"/>
      <c r="U5" s="312"/>
      <c r="V5" s="468"/>
      <c r="W5" s="312"/>
      <c r="X5" s="468"/>
      <c r="Y5" s="312"/>
      <c r="Z5" s="468"/>
      <c r="AA5" s="312"/>
      <c r="AB5" s="468"/>
      <c r="AC5" s="312"/>
      <c r="AD5" s="468"/>
      <c r="AE5" s="312"/>
      <c r="AF5" s="468"/>
      <c r="AG5" s="312"/>
      <c r="AH5" s="468"/>
      <c r="AI5" s="312"/>
      <c r="AJ5" s="312"/>
      <c r="AK5" s="312"/>
      <c r="AL5" s="468"/>
      <c r="AM5" s="312"/>
      <c r="AN5" s="468"/>
      <c r="AO5" s="312"/>
      <c r="AP5" s="468"/>
      <c r="AQ5" s="312"/>
      <c r="AR5" s="468"/>
      <c r="AS5" s="312"/>
      <c r="AT5" s="468"/>
      <c r="AU5" s="312"/>
      <c r="AV5" s="468"/>
      <c r="AW5" s="312"/>
      <c r="AX5" s="468"/>
      <c r="AY5" s="312"/>
      <c r="AZ5" s="468"/>
      <c r="BA5" s="312"/>
      <c r="BB5" s="468"/>
      <c r="BC5" s="312"/>
      <c r="BD5" s="468"/>
      <c r="BE5" s="312"/>
      <c r="BF5" s="468"/>
      <c r="BG5" s="312"/>
      <c r="BH5" s="312"/>
      <c r="BI5" s="312"/>
      <c r="BJ5" s="468"/>
      <c r="BK5" s="312"/>
      <c r="BL5" s="468"/>
      <c r="BM5" s="312"/>
      <c r="BN5" s="468"/>
      <c r="BO5" s="312"/>
      <c r="BP5" s="468"/>
      <c r="BQ5" s="312"/>
      <c r="BR5" s="468"/>
      <c r="BS5" s="312"/>
      <c r="BT5" s="468"/>
      <c r="BU5" s="312"/>
      <c r="BV5" s="468"/>
      <c r="BW5" s="312"/>
      <c r="BX5" s="468"/>
      <c r="BY5" s="312"/>
      <c r="BZ5" s="468"/>
      <c r="CA5" s="312"/>
      <c r="CB5" s="468"/>
      <c r="CC5" s="312"/>
      <c r="CD5" s="468"/>
      <c r="CE5" s="312"/>
      <c r="CF5" s="312"/>
      <c r="CG5" s="312"/>
      <c r="CH5" s="468"/>
      <c r="CI5" s="312"/>
      <c r="CJ5" s="468"/>
      <c r="CK5" s="312"/>
      <c r="CL5" s="468"/>
      <c r="CM5" s="312"/>
      <c r="CN5" s="312"/>
      <c r="CO5" s="312"/>
      <c r="CP5" s="468"/>
      <c r="CQ5" s="312"/>
      <c r="CR5" s="312"/>
      <c r="CS5" s="312"/>
      <c r="CT5" s="468"/>
      <c r="CU5" s="312"/>
      <c r="CV5" s="312"/>
      <c r="CW5" s="312"/>
      <c r="CX5" s="468"/>
      <c r="CY5" s="312"/>
      <c r="CZ5" s="312"/>
      <c r="DA5" s="312"/>
      <c r="DB5" s="468"/>
      <c r="DC5" s="312"/>
      <c r="DD5" s="468"/>
      <c r="DE5" s="312"/>
      <c r="DF5" s="468"/>
      <c r="DG5" s="312"/>
      <c r="DH5" s="468"/>
    </row>
    <row r="6" spans="1:112" x14ac:dyDescent="0.25">
      <c r="A6" s="485"/>
      <c r="B6" s="485"/>
      <c r="C6" s="485"/>
      <c r="D6" s="485"/>
      <c r="E6" s="485" t="s">
        <v>159</v>
      </c>
      <c r="F6" s="468">
        <v>0</v>
      </c>
      <c r="G6" s="312"/>
      <c r="H6" s="468"/>
      <c r="I6" s="312"/>
      <c r="J6" s="468">
        <v>0</v>
      </c>
      <c r="K6" s="312"/>
      <c r="L6" s="312"/>
      <c r="M6" s="312"/>
      <c r="N6" s="468">
        <v>190962.07</v>
      </c>
      <c r="O6" s="312"/>
      <c r="P6" s="468">
        <v>188894</v>
      </c>
      <c r="Q6" s="312"/>
      <c r="R6" s="468">
        <f t="shared" ref="R6:R11" si="0">ROUND(F6+J6+N6,5)</f>
        <v>190962.07</v>
      </c>
      <c r="S6" s="312"/>
      <c r="T6" s="468">
        <f>ROUND(H6+L6+P6,5)</f>
        <v>188894</v>
      </c>
      <c r="U6" s="312"/>
      <c r="V6" s="468">
        <v>0</v>
      </c>
      <c r="W6" s="312"/>
      <c r="X6" s="468"/>
      <c r="Y6" s="312"/>
      <c r="Z6" s="468">
        <v>0</v>
      </c>
      <c r="AA6" s="312"/>
      <c r="AB6" s="468"/>
      <c r="AC6" s="312"/>
      <c r="AD6" s="468">
        <v>0</v>
      </c>
      <c r="AE6" s="312"/>
      <c r="AF6" s="468"/>
      <c r="AG6" s="312"/>
      <c r="AH6" s="468">
        <v>0</v>
      </c>
      <c r="AI6" s="312"/>
      <c r="AJ6" s="312"/>
      <c r="AK6" s="312"/>
      <c r="AL6" s="468">
        <f t="shared" ref="AL6:AL11" si="1">ROUND(Z6+AD6+AH6,5)</f>
        <v>0</v>
      </c>
      <c r="AM6" s="312"/>
      <c r="AN6" s="468"/>
      <c r="AO6" s="312"/>
      <c r="AP6" s="468">
        <v>0</v>
      </c>
      <c r="AQ6" s="312"/>
      <c r="AR6" s="468"/>
      <c r="AS6" s="312"/>
      <c r="AT6" s="468">
        <v>0</v>
      </c>
      <c r="AU6" s="312"/>
      <c r="AV6" s="468"/>
      <c r="AW6" s="312"/>
      <c r="AX6" s="468">
        <v>0</v>
      </c>
      <c r="AY6" s="312"/>
      <c r="AZ6" s="468"/>
      <c r="BA6" s="312"/>
      <c r="BB6" s="468">
        <v>50</v>
      </c>
      <c r="BC6" s="312"/>
      <c r="BD6" s="468"/>
      <c r="BE6" s="312"/>
      <c r="BF6" s="468">
        <v>0</v>
      </c>
      <c r="BG6" s="312"/>
      <c r="BH6" s="312"/>
      <c r="BI6" s="312"/>
      <c r="BJ6" s="468">
        <f t="shared" ref="BJ6:BJ11" si="2">ROUND(AX6+BB6+BF6,5)</f>
        <v>50</v>
      </c>
      <c r="BK6" s="312"/>
      <c r="BL6" s="468"/>
      <c r="BM6" s="312"/>
      <c r="BN6" s="468">
        <v>0</v>
      </c>
      <c r="BO6" s="312"/>
      <c r="BP6" s="468"/>
      <c r="BQ6" s="312"/>
      <c r="BR6" s="468">
        <v>0</v>
      </c>
      <c r="BS6" s="312"/>
      <c r="BT6" s="468"/>
      <c r="BU6" s="312"/>
      <c r="BV6" s="468">
        <v>0</v>
      </c>
      <c r="BW6" s="312"/>
      <c r="BX6" s="468"/>
      <c r="BY6" s="312"/>
      <c r="BZ6" s="468">
        <f t="shared" ref="BZ6:BZ11" si="3">ROUND(BN6+BR6+BV6,5)</f>
        <v>0</v>
      </c>
      <c r="CA6" s="312"/>
      <c r="CB6" s="468"/>
      <c r="CC6" s="312"/>
      <c r="CD6" s="468">
        <v>0</v>
      </c>
      <c r="CE6" s="312"/>
      <c r="CF6" s="312"/>
      <c r="CG6" s="312"/>
      <c r="CH6" s="468">
        <f t="shared" ref="CH6:CH11" si="4">ROUND(AL6+AP6+AT6+BJ6+BZ6+CD6,5)</f>
        <v>50</v>
      </c>
      <c r="CI6" s="312"/>
      <c r="CJ6" s="468"/>
      <c r="CK6" s="312"/>
      <c r="CL6" s="468">
        <v>0</v>
      </c>
      <c r="CM6" s="312"/>
      <c r="CN6" s="312"/>
      <c r="CO6" s="312"/>
      <c r="CP6" s="468">
        <v>0</v>
      </c>
      <c r="CQ6" s="312"/>
      <c r="CR6" s="312"/>
      <c r="CS6" s="312"/>
      <c r="CT6" s="468">
        <v>0</v>
      </c>
      <c r="CU6" s="312"/>
      <c r="CV6" s="312"/>
      <c r="CW6" s="312"/>
      <c r="CX6" s="468">
        <f t="shared" ref="CX6:CX11" si="5">ROUND(CL6+CP6+CT6,5)</f>
        <v>0</v>
      </c>
      <c r="CY6" s="312"/>
      <c r="CZ6" s="312"/>
      <c r="DA6" s="312"/>
      <c r="DB6" s="468">
        <v>0</v>
      </c>
      <c r="DC6" s="312"/>
      <c r="DD6" s="468">
        <v>0</v>
      </c>
      <c r="DE6" s="312"/>
      <c r="DF6" s="468">
        <f t="shared" ref="DF6:DF11" si="6">ROUND(R6+V6+CH6+CX6+DB6,5)</f>
        <v>191012.07</v>
      </c>
      <c r="DG6" s="312"/>
      <c r="DH6" s="468">
        <f t="shared" ref="DH6:DH11" si="7">ROUND(T6+X6+CJ6+CZ6+DD6,5)</f>
        <v>188894</v>
      </c>
    </row>
    <row r="7" spans="1:112" x14ac:dyDescent="0.25">
      <c r="A7" s="485"/>
      <c r="B7" s="485"/>
      <c r="C7" s="485"/>
      <c r="D7" s="485"/>
      <c r="E7" s="485" t="s">
        <v>160</v>
      </c>
      <c r="F7" s="468">
        <v>357.02</v>
      </c>
      <c r="G7" s="312"/>
      <c r="H7" s="468"/>
      <c r="I7" s="312"/>
      <c r="J7" s="468">
        <v>0</v>
      </c>
      <c r="K7" s="312"/>
      <c r="L7" s="312"/>
      <c r="M7" s="312"/>
      <c r="N7" s="468">
        <v>464.24</v>
      </c>
      <c r="O7" s="312"/>
      <c r="P7" s="468"/>
      <c r="Q7" s="312"/>
      <c r="R7" s="468">
        <f t="shared" si="0"/>
        <v>821.26</v>
      </c>
      <c r="S7" s="312"/>
      <c r="T7" s="468"/>
      <c r="U7" s="312"/>
      <c r="V7" s="468">
        <v>82126.52</v>
      </c>
      <c r="W7" s="312"/>
      <c r="X7" s="468">
        <v>90000</v>
      </c>
      <c r="Y7" s="312"/>
      <c r="Z7" s="468">
        <v>0</v>
      </c>
      <c r="AA7" s="312"/>
      <c r="AB7" s="468"/>
      <c r="AC7" s="312"/>
      <c r="AD7" s="468">
        <v>0</v>
      </c>
      <c r="AE7" s="312"/>
      <c r="AF7" s="468"/>
      <c r="AG7" s="312"/>
      <c r="AH7" s="468">
        <v>0</v>
      </c>
      <c r="AI7" s="312"/>
      <c r="AJ7" s="312"/>
      <c r="AK7" s="312"/>
      <c r="AL7" s="468">
        <f t="shared" si="1"/>
        <v>0</v>
      </c>
      <c r="AM7" s="312"/>
      <c r="AN7" s="468"/>
      <c r="AO7" s="312"/>
      <c r="AP7" s="468">
        <v>0</v>
      </c>
      <c r="AQ7" s="312"/>
      <c r="AR7" s="468"/>
      <c r="AS7" s="312"/>
      <c r="AT7" s="468">
        <v>161.1</v>
      </c>
      <c r="AU7" s="312"/>
      <c r="AV7" s="468"/>
      <c r="AW7" s="312"/>
      <c r="AX7" s="468">
        <v>0</v>
      </c>
      <c r="AY7" s="312"/>
      <c r="AZ7" s="468"/>
      <c r="BA7" s="312"/>
      <c r="BB7" s="468">
        <v>10668.42</v>
      </c>
      <c r="BC7" s="312"/>
      <c r="BD7" s="468">
        <v>5750</v>
      </c>
      <c r="BE7" s="312"/>
      <c r="BF7" s="468">
        <v>0</v>
      </c>
      <c r="BG7" s="312"/>
      <c r="BH7" s="312"/>
      <c r="BI7" s="312"/>
      <c r="BJ7" s="468">
        <f t="shared" si="2"/>
        <v>10668.42</v>
      </c>
      <c r="BK7" s="312"/>
      <c r="BL7" s="468">
        <f>ROUND(AZ7+BD7+BH7,5)</f>
        <v>5750</v>
      </c>
      <c r="BM7" s="312"/>
      <c r="BN7" s="468">
        <v>7180</v>
      </c>
      <c r="BO7" s="312"/>
      <c r="BP7" s="468"/>
      <c r="BQ7" s="312"/>
      <c r="BR7" s="468">
        <v>2240</v>
      </c>
      <c r="BS7" s="312"/>
      <c r="BT7" s="468">
        <v>25000</v>
      </c>
      <c r="BU7" s="312"/>
      <c r="BV7" s="468">
        <v>865</v>
      </c>
      <c r="BW7" s="312"/>
      <c r="BX7" s="468">
        <v>7500</v>
      </c>
      <c r="BY7" s="312"/>
      <c r="BZ7" s="468">
        <f t="shared" si="3"/>
        <v>10285</v>
      </c>
      <c r="CA7" s="312"/>
      <c r="CB7" s="468">
        <f>ROUND(BP7+BT7+BX7,5)</f>
        <v>32500</v>
      </c>
      <c r="CC7" s="312"/>
      <c r="CD7" s="468">
        <v>0</v>
      </c>
      <c r="CE7" s="312"/>
      <c r="CF7" s="312"/>
      <c r="CG7" s="312"/>
      <c r="CH7" s="468">
        <f t="shared" si="4"/>
        <v>21114.52</v>
      </c>
      <c r="CI7" s="312"/>
      <c r="CJ7" s="468">
        <f>ROUND(AN7+AR7+AV7+BL7+CB7+CF7,5)</f>
        <v>38250</v>
      </c>
      <c r="CK7" s="312"/>
      <c r="CL7" s="468">
        <v>0</v>
      </c>
      <c r="CM7" s="312"/>
      <c r="CN7" s="312"/>
      <c r="CO7" s="312"/>
      <c r="CP7" s="468">
        <v>0</v>
      </c>
      <c r="CQ7" s="312"/>
      <c r="CR7" s="312"/>
      <c r="CS7" s="312"/>
      <c r="CT7" s="468">
        <v>0</v>
      </c>
      <c r="CU7" s="312"/>
      <c r="CV7" s="312"/>
      <c r="CW7" s="312"/>
      <c r="CX7" s="468">
        <f t="shared" si="5"/>
        <v>0</v>
      </c>
      <c r="CY7" s="312"/>
      <c r="CZ7" s="312"/>
      <c r="DA7" s="312"/>
      <c r="DB7" s="468">
        <v>0</v>
      </c>
      <c r="DC7" s="312"/>
      <c r="DD7" s="468">
        <v>0</v>
      </c>
      <c r="DE7" s="312"/>
      <c r="DF7" s="468">
        <f t="shared" si="6"/>
        <v>104062.3</v>
      </c>
      <c r="DG7" s="312"/>
      <c r="DH7" s="468">
        <f t="shared" si="7"/>
        <v>128250</v>
      </c>
    </row>
    <row r="8" spans="1:112" x14ac:dyDescent="0.25">
      <c r="A8" s="485"/>
      <c r="B8" s="485"/>
      <c r="C8" s="485"/>
      <c r="D8" s="485"/>
      <c r="E8" s="485" t="s">
        <v>161</v>
      </c>
      <c r="F8" s="468">
        <v>0</v>
      </c>
      <c r="G8" s="312"/>
      <c r="H8" s="468"/>
      <c r="I8" s="312"/>
      <c r="J8" s="468">
        <v>0</v>
      </c>
      <c r="K8" s="312"/>
      <c r="L8" s="312"/>
      <c r="M8" s="312"/>
      <c r="N8" s="468">
        <v>7023.54</v>
      </c>
      <c r="O8" s="312"/>
      <c r="P8" s="468">
        <v>6400</v>
      </c>
      <c r="Q8" s="312"/>
      <c r="R8" s="468">
        <f t="shared" si="0"/>
        <v>7023.54</v>
      </c>
      <c r="S8" s="312"/>
      <c r="T8" s="468">
        <f>ROUND(H8+L8+P8,5)</f>
        <v>6400</v>
      </c>
      <c r="U8" s="312"/>
      <c r="V8" s="468">
        <v>5124.93</v>
      </c>
      <c r="W8" s="312"/>
      <c r="X8" s="468">
        <v>3000</v>
      </c>
      <c r="Y8" s="312"/>
      <c r="Z8" s="468">
        <v>0</v>
      </c>
      <c r="AA8" s="312"/>
      <c r="AB8" s="468"/>
      <c r="AC8" s="312"/>
      <c r="AD8" s="468">
        <v>0</v>
      </c>
      <c r="AE8" s="312"/>
      <c r="AF8" s="468"/>
      <c r="AG8" s="312"/>
      <c r="AH8" s="468">
        <v>0</v>
      </c>
      <c r="AI8" s="312"/>
      <c r="AJ8" s="312"/>
      <c r="AK8" s="312"/>
      <c r="AL8" s="468">
        <f t="shared" si="1"/>
        <v>0</v>
      </c>
      <c r="AM8" s="312"/>
      <c r="AN8" s="468"/>
      <c r="AO8" s="312"/>
      <c r="AP8" s="468">
        <v>0</v>
      </c>
      <c r="AQ8" s="312"/>
      <c r="AR8" s="468"/>
      <c r="AS8" s="312"/>
      <c r="AT8" s="468">
        <v>0</v>
      </c>
      <c r="AU8" s="312"/>
      <c r="AV8" s="468"/>
      <c r="AW8" s="312"/>
      <c r="AX8" s="468">
        <v>15447.83</v>
      </c>
      <c r="AY8" s="312"/>
      <c r="AZ8" s="468">
        <v>25000</v>
      </c>
      <c r="BA8" s="312"/>
      <c r="BB8" s="468">
        <v>95510</v>
      </c>
      <c r="BC8" s="312"/>
      <c r="BD8" s="468">
        <v>110500</v>
      </c>
      <c r="BE8" s="312"/>
      <c r="BF8" s="468">
        <v>950</v>
      </c>
      <c r="BG8" s="312"/>
      <c r="BH8" s="312"/>
      <c r="BI8" s="312"/>
      <c r="BJ8" s="468">
        <f t="shared" si="2"/>
        <v>111907.83</v>
      </c>
      <c r="BK8" s="312"/>
      <c r="BL8" s="468">
        <f>ROUND(AZ8+BD8+BH8,5)</f>
        <v>135500</v>
      </c>
      <c r="BM8" s="312"/>
      <c r="BN8" s="468">
        <v>-159.22</v>
      </c>
      <c r="BO8" s="312"/>
      <c r="BP8" s="468"/>
      <c r="BQ8" s="312"/>
      <c r="BR8" s="468">
        <v>0</v>
      </c>
      <c r="BS8" s="312"/>
      <c r="BT8" s="468"/>
      <c r="BU8" s="312"/>
      <c r="BV8" s="468">
        <v>1505</v>
      </c>
      <c r="BW8" s="312"/>
      <c r="BX8" s="468"/>
      <c r="BY8" s="312"/>
      <c r="BZ8" s="468">
        <f t="shared" si="3"/>
        <v>1345.78</v>
      </c>
      <c r="CA8" s="312"/>
      <c r="CB8" s="468"/>
      <c r="CC8" s="312"/>
      <c r="CD8" s="468">
        <v>0</v>
      </c>
      <c r="CE8" s="312"/>
      <c r="CF8" s="312"/>
      <c r="CG8" s="312"/>
      <c r="CH8" s="468">
        <f t="shared" si="4"/>
        <v>113253.61</v>
      </c>
      <c r="CI8" s="312"/>
      <c r="CJ8" s="468">
        <f>ROUND(AN8+AR8+AV8+BL8+CB8+CF8,5)</f>
        <v>135500</v>
      </c>
      <c r="CK8" s="312"/>
      <c r="CL8" s="468">
        <v>0</v>
      </c>
      <c r="CM8" s="312"/>
      <c r="CN8" s="312"/>
      <c r="CO8" s="312"/>
      <c r="CP8" s="468">
        <v>0</v>
      </c>
      <c r="CQ8" s="312"/>
      <c r="CR8" s="312"/>
      <c r="CS8" s="312"/>
      <c r="CT8" s="468">
        <v>0</v>
      </c>
      <c r="CU8" s="312"/>
      <c r="CV8" s="312"/>
      <c r="CW8" s="312"/>
      <c r="CX8" s="468">
        <f t="shared" si="5"/>
        <v>0</v>
      </c>
      <c r="CY8" s="312"/>
      <c r="CZ8" s="312"/>
      <c r="DA8" s="312"/>
      <c r="DB8" s="468">
        <v>0</v>
      </c>
      <c r="DC8" s="312"/>
      <c r="DD8" s="468">
        <v>0</v>
      </c>
      <c r="DE8" s="312"/>
      <c r="DF8" s="468">
        <f t="shared" si="6"/>
        <v>125402.08</v>
      </c>
      <c r="DG8" s="312"/>
      <c r="DH8" s="468">
        <f t="shared" si="7"/>
        <v>144900</v>
      </c>
    </row>
    <row r="9" spans="1:112" x14ac:dyDescent="0.25">
      <c r="A9" s="485"/>
      <c r="B9" s="485"/>
      <c r="C9" s="485"/>
      <c r="D9" s="485"/>
      <c r="E9" s="485" t="s">
        <v>162</v>
      </c>
      <c r="F9" s="468">
        <v>0</v>
      </c>
      <c r="G9" s="312"/>
      <c r="H9" s="468"/>
      <c r="I9" s="312"/>
      <c r="J9" s="468">
        <v>0</v>
      </c>
      <c r="K9" s="312"/>
      <c r="L9" s="312"/>
      <c r="M9" s="312"/>
      <c r="N9" s="468">
        <v>1575</v>
      </c>
      <c r="O9" s="312"/>
      <c r="P9" s="468">
        <v>2100</v>
      </c>
      <c r="Q9" s="312"/>
      <c r="R9" s="468">
        <f t="shared" si="0"/>
        <v>1575</v>
      </c>
      <c r="S9" s="312"/>
      <c r="T9" s="468">
        <f>ROUND(H9+L9+P9,5)</f>
        <v>2100</v>
      </c>
      <c r="U9" s="312"/>
      <c r="V9" s="468">
        <v>0</v>
      </c>
      <c r="W9" s="312"/>
      <c r="X9" s="468"/>
      <c r="Y9" s="312"/>
      <c r="Z9" s="468">
        <v>0</v>
      </c>
      <c r="AA9" s="312"/>
      <c r="AB9" s="468"/>
      <c r="AC9" s="312"/>
      <c r="AD9" s="468">
        <v>0</v>
      </c>
      <c r="AE9" s="312"/>
      <c r="AF9" s="468"/>
      <c r="AG9" s="312"/>
      <c r="AH9" s="468">
        <v>0</v>
      </c>
      <c r="AI9" s="312"/>
      <c r="AJ9" s="312"/>
      <c r="AK9" s="312"/>
      <c r="AL9" s="468">
        <f t="shared" si="1"/>
        <v>0</v>
      </c>
      <c r="AM9" s="312"/>
      <c r="AN9" s="468"/>
      <c r="AO9" s="312"/>
      <c r="AP9" s="468">
        <v>0</v>
      </c>
      <c r="AQ9" s="312"/>
      <c r="AR9" s="468"/>
      <c r="AS9" s="312"/>
      <c r="AT9" s="468">
        <v>0</v>
      </c>
      <c r="AU9" s="312"/>
      <c r="AV9" s="468"/>
      <c r="AW9" s="312"/>
      <c r="AX9" s="468">
        <v>0</v>
      </c>
      <c r="AY9" s="312"/>
      <c r="AZ9" s="468"/>
      <c r="BA9" s="312"/>
      <c r="BB9" s="468">
        <v>0</v>
      </c>
      <c r="BC9" s="312"/>
      <c r="BD9" s="468"/>
      <c r="BE9" s="312"/>
      <c r="BF9" s="468">
        <v>0</v>
      </c>
      <c r="BG9" s="312"/>
      <c r="BH9" s="312"/>
      <c r="BI9" s="312"/>
      <c r="BJ9" s="468">
        <f t="shared" si="2"/>
        <v>0</v>
      </c>
      <c r="BK9" s="312"/>
      <c r="BL9" s="468"/>
      <c r="BM9" s="312"/>
      <c r="BN9" s="468">
        <v>0</v>
      </c>
      <c r="BO9" s="312"/>
      <c r="BP9" s="468"/>
      <c r="BQ9" s="312"/>
      <c r="BR9" s="468">
        <v>0</v>
      </c>
      <c r="BS9" s="312"/>
      <c r="BT9" s="468"/>
      <c r="BU9" s="312"/>
      <c r="BV9" s="468">
        <v>0</v>
      </c>
      <c r="BW9" s="312"/>
      <c r="BX9" s="468"/>
      <c r="BY9" s="312"/>
      <c r="BZ9" s="468">
        <f t="shared" si="3"/>
        <v>0</v>
      </c>
      <c r="CA9" s="312"/>
      <c r="CB9" s="468"/>
      <c r="CC9" s="312"/>
      <c r="CD9" s="468">
        <v>0</v>
      </c>
      <c r="CE9" s="312"/>
      <c r="CF9" s="312"/>
      <c r="CG9" s="312"/>
      <c r="CH9" s="468">
        <f t="shared" si="4"/>
        <v>0</v>
      </c>
      <c r="CI9" s="312"/>
      <c r="CJ9" s="468"/>
      <c r="CK9" s="312"/>
      <c r="CL9" s="468">
        <v>0</v>
      </c>
      <c r="CM9" s="312"/>
      <c r="CN9" s="312"/>
      <c r="CO9" s="312"/>
      <c r="CP9" s="468">
        <v>0</v>
      </c>
      <c r="CQ9" s="312"/>
      <c r="CR9" s="312"/>
      <c r="CS9" s="312"/>
      <c r="CT9" s="468">
        <v>0</v>
      </c>
      <c r="CU9" s="312"/>
      <c r="CV9" s="312"/>
      <c r="CW9" s="312"/>
      <c r="CX9" s="468">
        <f t="shared" si="5"/>
        <v>0</v>
      </c>
      <c r="CY9" s="312"/>
      <c r="CZ9" s="312"/>
      <c r="DA9" s="312"/>
      <c r="DB9" s="468">
        <v>0</v>
      </c>
      <c r="DC9" s="312"/>
      <c r="DD9" s="468">
        <v>0</v>
      </c>
      <c r="DE9" s="312"/>
      <c r="DF9" s="468">
        <f t="shared" si="6"/>
        <v>1575</v>
      </c>
      <c r="DG9" s="312"/>
      <c r="DH9" s="468">
        <f t="shared" si="7"/>
        <v>2100</v>
      </c>
    </row>
    <row r="10" spans="1:112" ht="15.75" thickBot="1" x14ac:dyDescent="0.3">
      <c r="A10" s="485"/>
      <c r="B10" s="485"/>
      <c r="C10" s="485"/>
      <c r="D10" s="485"/>
      <c r="E10" s="485" t="s">
        <v>163</v>
      </c>
      <c r="F10" s="313">
        <v>0</v>
      </c>
      <c r="G10" s="312"/>
      <c r="H10" s="468"/>
      <c r="I10" s="312"/>
      <c r="J10" s="313">
        <v>0</v>
      </c>
      <c r="K10" s="312"/>
      <c r="L10" s="312"/>
      <c r="M10" s="312"/>
      <c r="N10" s="313">
        <v>981.91</v>
      </c>
      <c r="O10" s="312"/>
      <c r="P10" s="313">
        <v>460</v>
      </c>
      <c r="Q10" s="312"/>
      <c r="R10" s="313">
        <f t="shared" si="0"/>
        <v>981.91</v>
      </c>
      <c r="S10" s="312"/>
      <c r="T10" s="313">
        <f>ROUND(H10+L10+P10,5)</f>
        <v>460</v>
      </c>
      <c r="U10" s="312"/>
      <c r="V10" s="313">
        <v>0</v>
      </c>
      <c r="W10" s="312"/>
      <c r="X10" s="313"/>
      <c r="Y10" s="312"/>
      <c r="Z10" s="313">
        <v>0</v>
      </c>
      <c r="AA10" s="312"/>
      <c r="AB10" s="468"/>
      <c r="AC10" s="312"/>
      <c r="AD10" s="313">
        <v>0</v>
      </c>
      <c r="AE10" s="312"/>
      <c r="AF10" s="468"/>
      <c r="AG10" s="312"/>
      <c r="AH10" s="313">
        <v>0</v>
      </c>
      <c r="AI10" s="312"/>
      <c r="AJ10" s="312"/>
      <c r="AK10" s="312"/>
      <c r="AL10" s="313">
        <f t="shared" si="1"/>
        <v>0</v>
      </c>
      <c r="AM10" s="312"/>
      <c r="AN10" s="468"/>
      <c r="AO10" s="312"/>
      <c r="AP10" s="313">
        <v>0</v>
      </c>
      <c r="AQ10" s="312"/>
      <c r="AR10" s="468"/>
      <c r="AS10" s="312"/>
      <c r="AT10" s="313">
        <v>0</v>
      </c>
      <c r="AU10" s="312"/>
      <c r="AV10" s="468"/>
      <c r="AW10" s="312"/>
      <c r="AX10" s="313">
        <v>0</v>
      </c>
      <c r="AY10" s="312"/>
      <c r="AZ10" s="313"/>
      <c r="BA10" s="312"/>
      <c r="BB10" s="313">
        <v>0</v>
      </c>
      <c r="BC10" s="312"/>
      <c r="BD10" s="313"/>
      <c r="BE10" s="312"/>
      <c r="BF10" s="313">
        <v>0</v>
      </c>
      <c r="BG10" s="312"/>
      <c r="BH10" s="312"/>
      <c r="BI10" s="312"/>
      <c r="BJ10" s="313">
        <f t="shared" si="2"/>
        <v>0</v>
      </c>
      <c r="BK10" s="312"/>
      <c r="BL10" s="313"/>
      <c r="BM10" s="312"/>
      <c r="BN10" s="313">
        <v>0</v>
      </c>
      <c r="BO10" s="312"/>
      <c r="BP10" s="468"/>
      <c r="BQ10" s="312"/>
      <c r="BR10" s="313">
        <v>0</v>
      </c>
      <c r="BS10" s="312"/>
      <c r="BT10" s="313"/>
      <c r="BU10" s="312"/>
      <c r="BV10" s="313">
        <v>0</v>
      </c>
      <c r="BW10" s="312"/>
      <c r="BX10" s="313"/>
      <c r="BY10" s="312"/>
      <c r="BZ10" s="313">
        <f t="shared" si="3"/>
        <v>0</v>
      </c>
      <c r="CA10" s="312"/>
      <c r="CB10" s="313"/>
      <c r="CC10" s="312"/>
      <c r="CD10" s="313">
        <v>0</v>
      </c>
      <c r="CE10" s="312"/>
      <c r="CF10" s="312"/>
      <c r="CG10" s="312"/>
      <c r="CH10" s="313">
        <f t="shared" si="4"/>
        <v>0</v>
      </c>
      <c r="CI10" s="312"/>
      <c r="CJ10" s="313"/>
      <c r="CK10" s="312"/>
      <c r="CL10" s="313">
        <v>0</v>
      </c>
      <c r="CM10" s="312"/>
      <c r="CN10" s="312"/>
      <c r="CO10" s="312"/>
      <c r="CP10" s="313">
        <v>0</v>
      </c>
      <c r="CQ10" s="312"/>
      <c r="CR10" s="312"/>
      <c r="CS10" s="312"/>
      <c r="CT10" s="313">
        <v>0</v>
      </c>
      <c r="CU10" s="312"/>
      <c r="CV10" s="312"/>
      <c r="CW10" s="312"/>
      <c r="CX10" s="313">
        <f t="shared" si="5"/>
        <v>0</v>
      </c>
      <c r="CY10" s="312"/>
      <c r="CZ10" s="312"/>
      <c r="DA10" s="312"/>
      <c r="DB10" s="313">
        <v>0</v>
      </c>
      <c r="DC10" s="312"/>
      <c r="DD10" s="313">
        <v>0</v>
      </c>
      <c r="DE10" s="312"/>
      <c r="DF10" s="313">
        <f t="shared" si="6"/>
        <v>981.91</v>
      </c>
      <c r="DG10" s="312"/>
      <c r="DH10" s="313">
        <f t="shared" si="7"/>
        <v>460</v>
      </c>
    </row>
    <row r="11" spans="1:112" x14ac:dyDescent="0.25">
      <c r="A11" s="485"/>
      <c r="B11" s="485"/>
      <c r="C11" s="485"/>
      <c r="D11" s="485" t="s">
        <v>9</v>
      </c>
      <c r="E11" s="485"/>
      <c r="F11" s="468">
        <f>ROUND(SUM(F5:F10),5)</f>
        <v>357.02</v>
      </c>
      <c r="G11" s="312"/>
      <c r="H11" s="468"/>
      <c r="I11" s="312"/>
      <c r="J11" s="468">
        <f>ROUND(SUM(J5:J10),5)</f>
        <v>0</v>
      </c>
      <c r="K11" s="312"/>
      <c r="L11" s="312"/>
      <c r="M11" s="312"/>
      <c r="N11" s="468">
        <f>ROUND(SUM(N5:N10),5)</f>
        <v>201006.76</v>
      </c>
      <c r="O11" s="312"/>
      <c r="P11" s="468">
        <f>ROUND(SUM(P5:P10),5)</f>
        <v>197854</v>
      </c>
      <c r="Q11" s="312"/>
      <c r="R11" s="468">
        <f t="shared" si="0"/>
        <v>201363.78</v>
      </c>
      <c r="S11" s="312"/>
      <c r="T11" s="468">
        <f>ROUND(H11+L11+P11,5)</f>
        <v>197854</v>
      </c>
      <c r="U11" s="312"/>
      <c r="V11" s="468">
        <f>ROUND(SUM(V5:V10),5)</f>
        <v>87251.45</v>
      </c>
      <c r="W11" s="312"/>
      <c r="X11" s="468">
        <f>ROUND(SUM(X5:X10),5)</f>
        <v>93000</v>
      </c>
      <c r="Y11" s="312"/>
      <c r="Z11" s="468">
        <f>ROUND(SUM(Z5:Z10),5)</f>
        <v>0</v>
      </c>
      <c r="AA11" s="312"/>
      <c r="AB11" s="468"/>
      <c r="AC11" s="312"/>
      <c r="AD11" s="468">
        <f>ROUND(SUM(AD5:AD10),5)</f>
        <v>0</v>
      </c>
      <c r="AE11" s="312"/>
      <c r="AF11" s="468"/>
      <c r="AG11" s="312"/>
      <c r="AH11" s="468">
        <f>ROUND(SUM(AH5:AH10),5)</f>
        <v>0</v>
      </c>
      <c r="AI11" s="312"/>
      <c r="AJ11" s="312"/>
      <c r="AK11" s="312"/>
      <c r="AL11" s="468">
        <f t="shared" si="1"/>
        <v>0</v>
      </c>
      <c r="AM11" s="312"/>
      <c r="AN11" s="468"/>
      <c r="AO11" s="312"/>
      <c r="AP11" s="468">
        <f>ROUND(SUM(AP5:AP10),5)</f>
        <v>0</v>
      </c>
      <c r="AQ11" s="312"/>
      <c r="AR11" s="468"/>
      <c r="AS11" s="312"/>
      <c r="AT11" s="468">
        <f>ROUND(SUM(AT5:AT10),5)</f>
        <v>161.1</v>
      </c>
      <c r="AU11" s="312"/>
      <c r="AV11" s="468"/>
      <c r="AW11" s="312"/>
      <c r="AX11" s="468">
        <f>ROUND(SUM(AX5:AX10),5)</f>
        <v>15447.83</v>
      </c>
      <c r="AY11" s="312"/>
      <c r="AZ11" s="468">
        <f>ROUND(SUM(AZ5:AZ10),5)</f>
        <v>25000</v>
      </c>
      <c r="BA11" s="312"/>
      <c r="BB11" s="468">
        <f>ROUND(SUM(BB5:BB10),5)</f>
        <v>106228.42</v>
      </c>
      <c r="BC11" s="312"/>
      <c r="BD11" s="468">
        <f>ROUND(SUM(BD5:BD10),5)</f>
        <v>116250</v>
      </c>
      <c r="BE11" s="312"/>
      <c r="BF11" s="468">
        <f>ROUND(SUM(BF5:BF10),5)</f>
        <v>950</v>
      </c>
      <c r="BG11" s="312"/>
      <c r="BH11" s="312"/>
      <c r="BI11" s="312"/>
      <c r="BJ11" s="468">
        <f t="shared" si="2"/>
        <v>122626.25</v>
      </c>
      <c r="BK11" s="312"/>
      <c r="BL11" s="468">
        <f>ROUND(AZ11+BD11+BH11,5)</f>
        <v>141250</v>
      </c>
      <c r="BM11" s="312"/>
      <c r="BN11" s="468">
        <f>ROUND(SUM(BN5:BN10),5)</f>
        <v>7020.78</v>
      </c>
      <c r="BO11" s="312"/>
      <c r="BP11" s="468"/>
      <c r="BQ11" s="312"/>
      <c r="BR11" s="468">
        <f>ROUND(SUM(BR5:BR10),5)</f>
        <v>2240</v>
      </c>
      <c r="BS11" s="312"/>
      <c r="BT11" s="468">
        <f>ROUND(SUM(BT5:BT10),5)</f>
        <v>25000</v>
      </c>
      <c r="BU11" s="312"/>
      <c r="BV11" s="468">
        <f>ROUND(SUM(BV5:BV10),5)</f>
        <v>2370</v>
      </c>
      <c r="BW11" s="312"/>
      <c r="BX11" s="468">
        <f>ROUND(SUM(BX5:BX10),5)</f>
        <v>7500</v>
      </c>
      <c r="BY11" s="312"/>
      <c r="BZ11" s="468">
        <f t="shared" si="3"/>
        <v>11630.78</v>
      </c>
      <c r="CA11" s="312"/>
      <c r="CB11" s="468">
        <f>ROUND(BP11+BT11+BX11,5)</f>
        <v>32500</v>
      </c>
      <c r="CC11" s="312"/>
      <c r="CD11" s="468">
        <f>ROUND(SUM(CD5:CD10),5)</f>
        <v>0</v>
      </c>
      <c r="CE11" s="312"/>
      <c r="CF11" s="312"/>
      <c r="CG11" s="312"/>
      <c r="CH11" s="468">
        <f t="shared" si="4"/>
        <v>134418.13</v>
      </c>
      <c r="CI11" s="312"/>
      <c r="CJ11" s="468">
        <f>ROUND(AN11+AR11+AV11+BL11+CB11+CF11,5)</f>
        <v>173750</v>
      </c>
      <c r="CK11" s="312"/>
      <c r="CL11" s="468">
        <f>ROUND(SUM(CL5:CL10),5)</f>
        <v>0</v>
      </c>
      <c r="CM11" s="312"/>
      <c r="CN11" s="312"/>
      <c r="CO11" s="312"/>
      <c r="CP11" s="468">
        <f>ROUND(SUM(CP5:CP10),5)</f>
        <v>0</v>
      </c>
      <c r="CQ11" s="312"/>
      <c r="CR11" s="312"/>
      <c r="CS11" s="312"/>
      <c r="CT11" s="468">
        <f>ROUND(SUM(CT5:CT10),5)</f>
        <v>0</v>
      </c>
      <c r="CU11" s="312"/>
      <c r="CV11" s="312"/>
      <c r="CW11" s="312"/>
      <c r="CX11" s="468">
        <f t="shared" si="5"/>
        <v>0</v>
      </c>
      <c r="CY11" s="312"/>
      <c r="CZ11" s="312"/>
      <c r="DA11" s="312"/>
      <c r="DB11" s="468">
        <f>ROUND(SUM(DB5:DB10),5)</f>
        <v>0</v>
      </c>
      <c r="DC11" s="312"/>
      <c r="DD11" s="468">
        <f>ROUND(SUM(DD5:DD10),5)</f>
        <v>0</v>
      </c>
      <c r="DE11" s="312"/>
      <c r="DF11" s="468">
        <f t="shared" si="6"/>
        <v>423033.36</v>
      </c>
      <c r="DG11" s="312"/>
      <c r="DH11" s="468">
        <f t="shared" si="7"/>
        <v>464604</v>
      </c>
    </row>
    <row r="12" spans="1:112" x14ac:dyDescent="0.25">
      <c r="A12" s="485"/>
      <c r="B12" s="485"/>
      <c r="C12" s="485"/>
      <c r="D12" s="485" t="s">
        <v>164</v>
      </c>
      <c r="E12" s="485"/>
      <c r="F12" s="468"/>
      <c r="G12" s="312"/>
      <c r="H12" s="468"/>
      <c r="I12" s="312"/>
      <c r="J12" s="468"/>
      <c r="K12" s="312"/>
      <c r="L12" s="312"/>
      <c r="M12" s="312"/>
      <c r="N12" s="468"/>
      <c r="O12" s="312"/>
      <c r="P12" s="468"/>
      <c r="Q12" s="312"/>
      <c r="R12" s="468"/>
      <c r="S12" s="312"/>
      <c r="T12" s="468"/>
      <c r="U12" s="312"/>
      <c r="V12" s="468"/>
      <c r="W12" s="312"/>
      <c r="X12" s="468"/>
      <c r="Y12" s="312"/>
      <c r="Z12" s="468"/>
      <c r="AA12" s="312"/>
      <c r="AB12" s="468"/>
      <c r="AC12" s="312"/>
      <c r="AD12" s="468"/>
      <c r="AE12" s="312"/>
      <c r="AF12" s="468"/>
      <c r="AG12" s="312"/>
      <c r="AH12" s="468"/>
      <c r="AI12" s="312"/>
      <c r="AJ12" s="312"/>
      <c r="AK12" s="312"/>
      <c r="AL12" s="468"/>
      <c r="AM12" s="312"/>
      <c r="AN12" s="468"/>
      <c r="AO12" s="312"/>
      <c r="AP12" s="468"/>
      <c r="AQ12" s="312"/>
      <c r="AR12" s="468"/>
      <c r="AS12" s="312"/>
      <c r="AT12" s="468"/>
      <c r="AU12" s="312"/>
      <c r="AV12" s="468"/>
      <c r="AW12" s="312"/>
      <c r="AX12" s="468"/>
      <c r="AY12" s="312"/>
      <c r="AZ12" s="468"/>
      <c r="BA12" s="312"/>
      <c r="BB12" s="468"/>
      <c r="BC12" s="312"/>
      <c r="BD12" s="468"/>
      <c r="BE12" s="312"/>
      <c r="BF12" s="468"/>
      <c r="BG12" s="312"/>
      <c r="BH12" s="312"/>
      <c r="BI12" s="312"/>
      <c r="BJ12" s="468"/>
      <c r="BK12" s="312"/>
      <c r="BL12" s="468"/>
      <c r="BM12" s="312"/>
      <c r="BN12" s="468"/>
      <c r="BO12" s="312"/>
      <c r="BP12" s="468"/>
      <c r="BQ12" s="312"/>
      <c r="BR12" s="468"/>
      <c r="BS12" s="312"/>
      <c r="BT12" s="468"/>
      <c r="BU12" s="312"/>
      <c r="BV12" s="468"/>
      <c r="BW12" s="312"/>
      <c r="BX12" s="468"/>
      <c r="BY12" s="312"/>
      <c r="BZ12" s="468"/>
      <c r="CA12" s="312"/>
      <c r="CB12" s="468"/>
      <c r="CC12" s="312"/>
      <c r="CD12" s="468"/>
      <c r="CE12" s="312"/>
      <c r="CF12" s="312"/>
      <c r="CG12" s="312"/>
      <c r="CH12" s="468"/>
      <c r="CI12" s="312"/>
      <c r="CJ12" s="468"/>
      <c r="CK12" s="312"/>
      <c r="CL12" s="468"/>
      <c r="CM12" s="312"/>
      <c r="CN12" s="312"/>
      <c r="CO12" s="312"/>
      <c r="CP12" s="468"/>
      <c r="CQ12" s="312"/>
      <c r="CR12" s="312"/>
      <c r="CS12" s="312"/>
      <c r="CT12" s="468"/>
      <c r="CU12" s="312"/>
      <c r="CV12" s="312"/>
      <c r="CW12" s="312"/>
      <c r="CX12" s="468"/>
      <c r="CY12" s="312"/>
      <c r="CZ12" s="312"/>
      <c r="DA12" s="312"/>
      <c r="DB12" s="468"/>
      <c r="DC12" s="312"/>
      <c r="DD12" s="468"/>
      <c r="DE12" s="312"/>
      <c r="DF12" s="468"/>
      <c r="DG12" s="312"/>
      <c r="DH12" s="468"/>
    </row>
    <row r="13" spans="1:112" ht="15.75" thickBot="1" x14ac:dyDescent="0.3">
      <c r="A13" s="485"/>
      <c r="B13" s="485"/>
      <c r="C13" s="485"/>
      <c r="D13" s="485"/>
      <c r="E13" s="485" t="s">
        <v>165</v>
      </c>
      <c r="F13" s="467">
        <v>0</v>
      </c>
      <c r="G13" s="312"/>
      <c r="H13" s="468"/>
      <c r="I13" s="312"/>
      <c r="J13" s="467">
        <v>0</v>
      </c>
      <c r="K13" s="312"/>
      <c r="L13" s="312"/>
      <c r="M13" s="312"/>
      <c r="N13" s="467">
        <v>0</v>
      </c>
      <c r="O13" s="312"/>
      <c r="P13" s="468"/>
      <c r="Q13" s="312"/>
      <c r="R13" s="467">
        <f>ROUND(F13+J13+N13,5)</f>
        <v>0</v>
      </c>
      <c r="S13" s="312"/>
      <c r="T13" s="468"/>
      <c r="U13" s="312"/>
      <c r="V13" s="467">
        <v>340.41</v>
      </c>
      <c r="W13" s="312"/>
      <c r="X13" s="468"/>
      <c r="Y13" s="312"/>
      <c r="Z13" s="467">
        <v>0</v>
      </c>
      <c r="AA13" s="312"/>
      <c r="AB13" s="468"/>
      <c r="AC13" s="312"/>
      <c r="AD13" s="467">
        <v>0</v>
      </c>
      <c r="AE13" s="312"/>
      <c r="AF13" s="468"/>
      <c r="AG13" s="312"/>
      <c r="AH13" s="467">
        <v>0</v>
      </c>
      <c r="AI13" s="312"/>
      <c r="AJ13" s="312"/>
      <c r="AK13" s="312"/>
      <c r="AL13" s="467">
        <f>ROUND(Z13+AD13+AH13,5)</f>
        <v>0</v>
      </c>
      <c r="AM13" s="312"/>
      <c r="AN13" s="468"/>
      <c r="AO13" s="312"/>
      <c r="AP13" s="467">
        <v>0</v>
      </c>
      <c r="AQ13" s="312"/>
      <c r="AR13" s="468"/>
      <c r="AS13" s="312"/>
      <c r="AT13" s="467">
        <v>0</v>
      </c>
      <c r="AU13" s="312"/>
      <c r="AV13" s="468"/>
      <c r="AW13" s="312"/>
      <c r="AX13" s="467">
        <v>0</v>
      </c>
      <c r="AY13" s="312"/>
      <c r="AZ13" s="468"/>
      <c r="BA13" s="312"/>
      <c r="BB13" s="467">
        <v>0</v>
      </c>
      <c r="BC13" s="312"/>
      <c r="BD13" s="468"/>
      <c r="BE13" s="312"/>
      <c r="BF13" s="467">
        <v>0</v>
      </c>
      <c r="BG13" s="312"/>
      <c r="BH13" s="312"/>
      <c r="BI13" s="312"/>
      <c r="BJ13" s="467">
        <f>ROUND(AX13+BB13+BF13,5)</f>
        <v>0</v>
      </c>
      <c r="BK13" s="312"/>
      <c r="BL13" s="468"/>
      <c r="BM13" s="312"/>
      <c r="BN13" s="467">
        <v>0</v>
      </c>
      <c r="BO13" s="312"/>
      <c r="BP13" s="468"/>
      <c r="BQ13" s="312"/>
      <c r="BR13" s="467">
        <v>0</v>
      </c>
      <c r="BS13" s="312"/>
      <c r="BT13" s="468"/>
      <c r="BU13" s="312"/>
      <c r="BV13" s="467">
        <v>0</v>
      </c>
      <c r="BW13" s="312"/>
      <c r="BX13" s="468"/>
      <c r="BY13" s="312"/>
      <c r="BZ13" s="467">
        <f>ROUND(BN13+BR13+BV13,5)</f>
        <v>0</v>
      </c>
      <c r="CA13" s="312"/>
      <c r="CB13" s="468"/>
      <c r="CC13" s="312"/>
      <c r="CD13" s="467">
        <v>0</v>
      </c>
      <c r="CE13" s="312"/>
      <c r="CF13" s="312"/>
      <c r="CG13" s="312"/>
      <c r="CH13" s="467">
        <f>ROUND(AL13+AP13+AT13+BJ13+BZ13+CD13,5)</f>
        <v>0</v>
      </c>
      <c r="CI13" s="312"/>
      <c r="CJ13" s="468"/>
      <c r="CK13" s="312"/>
      <c r="CL13" s="467">
        <v>0</v>
      </c>
      <c r="CM13" s="312"/>
      <c r="CN13" s="312"/>
      <c r="CO13" s="312"/>
      <c r="CP13" s="467">
        <v>0</v>
      </c>
      <c r="CQ13" s="312"/>
      <c r="CR13" s="312"/>
      <c r="CS13" s="312"/>
      <c r="CT13" s="467">
        <v>0</v>
      </c>
      <c r="CU13" s="312"/>
      <c r="CV13" s="312"/>
      <c r="CW13" s="312"/>
      <c r="CX13" s="467">
        <f>ROUND(CL13+CP13+CT13,5)</f>
        <v>0</v>
      </c>
      <c r="CY13" s="312"/>
      <c r="CZ13" s="312"/>
      <c r="DA13" s="312"/>
      <c r="DB13" s="467">
        <v>0</v>
      </c>
      <c r="DC13" s="312"/>
      <c r="DD13" s="467">
        <v>0</v>
      </c>
      <c r="DE13" s="312"/>
      <c r="DF13" s="467">
        <f>ROUND(R13+V13+CH13+CX13+DB13,5)</f>
        <v>340.41</v>
      </c>
      <c r="DG13" s="312"/>
      <c r="DH13" s="467">
        <f>ROUND(T13+X13+CJ13+CZ13+DD13,5)</f>
        <v>0</v>
      </c>
    </row>
    <row r="14" spans="1:112" ht="15.75" thickBot="1" x14ac:dyDescent="0.3">
      <c r="A14" s="485"/>
      <c r="B14" s="485"/>
      <c r="C14" s="485"/>
      <c r="D14" s="485" t="s">
        <v>166</v>
      </c>
      <c r="E14" s="485"/>
      <c r="F14" s="314">
        <f>ROUND(SUM(F12:F13),5)</f>
        <v>0</v>
      </c>
      <c r="G14" s="312"/>
      <c r="H14" s="468"/>
      <c r="I14" s="312"/>
      <c r="J14" s="314">
        <f>ROUND(SUM(J12:J13),5)</f>
        <v>0</v>
      </c>
      <c r="K14" s="312"/>
      <c r="L14" s="312"/>
      <c r="M14" s="312"/>
      <c r="N14" s="314">
        <f>ROUND(SUM(N12:N13),5)</f>
        <v>0</v>
      </c>
      <c r="O14" s="312"/>
      <c r="P14" s="313"/>
      <c r="Q14" s="312"/>
      <c r="R14" s="314">
        <f>ROUND(F14+J14+N14,5)</f>
        <v>0</v>
      </c>
      <c r="S14" s="312"/>
      <c r="T14" s="313"/>
      <c r="U14" s="312"/>
      <c r="V14" s="314">
        <f>ROUND(SUM(V12:V13),5)</f>
        <v>340.41</v>
      </c>
      <c r="W14" s="312"/>
      <c r="X14" s="313"/>
      <c r="Y14" s="312"/>
      <c r="Z14" s="314">
        <f>ROUND(SUM(Z12:Z13),5)</f>
        <v>0</v>
      </c>
      <c r="AA14" s="312"/>
      <c r="AB14" s="468"/>
      <c r="AC14" s="312"/>
      <c r="AD14" s="314">
        <f>ROUND(SUM(AD12:AD13),5)</f>
        <v>0</v>
      </c>
      <c r="AE14" s="312"/>
      <c r="AF14" s="468"/>
      <c r="AG14" s="312"/>
      <c r="AH14" s="314">
        <f>ROUND(SUM(AH12:AH13),5)</f>
        <v>0</v>
      </c>
      <c r="AI14" s="312"/>
      <c r="AJ14" s="312"/>
      <c r="AK14" s="312"/>
      <c r="AL14" s="314">
        <f>ROUND(Z14+AD14+AH14,5)</f>
        <v>0</v>
      </c>
      <c r="AM14" s="312"/>
      <c r="AN14" s="468"/>
      <c r="AO14" s="312"/>
      <c r="AP14" s="314">
        <f>ROUND(SUM(AP12:AP13),5)</f>
        <v>0</v>
      </c>
      <c r="AQ14" s="312"/>
      <c r="AR14" s="468"/>
      <c r="AS14" s="312"/>
      <c r="AT14" s="314">
        <f>ROUND(SUM(AT12:AT13),5)</f>
        <v>0</v>
      </c>
      <c r="AU14" s="312"/>
      <c r="AV14" s="468"/>
      <c r="AW14" s="312"/>
      <c r="AX14" s="314">
        <f>ROUND(SUM(AX12:AX13),5)</f>
        <v>0</v>
      </c>
      <c r="AY14" s="312"/>
      <c r="AZ14" s="313"/>
      <c r="BA14" s="312"/>
      <c r="BB14" s="314">
        <f>ROUND(SUM(BB12:BB13),5)</f>
        <v>0</v>
      </c>
      <c r="BC14" s="312"/>
      <c r="BD14" s="313"/>
      <c r="BE14" s="312"/>
      <c r="BF14" s="314">
        <f>ROUND(SUM(BF12:BF13),5)</f>
        <v>0</v>
      </c>
      <c r="BG14" s="312"/>
      <c r="BH14" s="312"/>
      <c r="BI14" s="312"/>
      <c r="BJ14" s="314">
        <f>ROUND(AX14+BB14+BF14,5)</f>
        <v>0</v>
      </c>
      <c r="BK14" s="312"/>
      <c r="BL14" s="313"/>
      <c r="BM14" s="312"/>
      <c r="BN14" s="314">
        <f>ROUND(SUM(BN12:BN13),5)</f>
        <v>0</v>
      </c>
      <c r="BO14" s="312"/>
      <c r="BP14" s="468"/>
      <c r="BQ14" s="312"/>
      <c r="BR14" s="314">
        <f>ROUND(SUM(BR12:BR13),5)</f>
        <v>0</v>
      </c>
      <c r="BS14" s="312"/>
      <c r="BT14" s="313"/>
      <c r="BU14" s="312"/>
      <c r="BV14" s="314">
        <f>ROUND(SUM(BV12:BV13),5)</f>
        <v>0</v>
      </c>
      <c r="BW14" s="312"/>
      <c r="BX14" s="313"/>
      <c r="BY14" s="312"/>
      <c r="BZ14" s="314">
        <f>ROUND(BN14+BR14+BV14,5)</f>
        <v>0</v>
      </c>
      <c r="CA14" s="312"/>
      <c r="CB14" s="313"/>
      <c r="CC14" s="312"/>
      <c r="CD14" s="314">
        <f>ROUND(SUM(CD12:CD13),5)</f>
        <v>0</v>
      </c>
      <c r="CE14" s="312"/>
      <c r="CF14" s="312"/>
      <c r="CG14" s="312"/>
      <c r="CH14" s="314">
        <f>ROUND(AL14+AP14+AT14+BJ14+BZ14+CD14,5)</f>
        <v>0</v>
      </c>
      <c r="CI14" s="312"/>
      <c r="CJ14" s="313"/>
      <c r="CK14" s="312"/>
      <c r="CL14" s="314">
        <f>ROUND(SUM(CL12:CL13),5)</f>
        <v>0</v>
      </c>
      <c r="CM14" s="312"/>
      <c r="CN14" s="312"/>
      <c r="CO14" s="312"/>
      <c r="CP14" s="314">
        <f>ROUND(SUM(CP12:CP13),5)</f>
        <v>0</v>
      </c>
      <c r="CQ14" s="312"/>
      <c r="CR14" s="312"/>
      <c r="CS14" s="312"/>
      <c r="CT14" s="314">
        <f>ROUND(SUM(CT12:CT13),5)</f>
        <v>0</v>
      </c>
      <c r="CU14" s="312"/>
      <c r="CV14" s="312"/>
      <c r="CW14" s="312"/>
      <c r="CX14" s="314">
        <f>ROUND(CL14+CP14+CT14,5)</f>
        <v>0</v>
      </c>
      <c r="CY14" s="312"/>
      <c r="CZ14" s="312"/>
      <c r="DA14" s="312"/>
      <c r="DB14" s="314">
        <f>ROUND(SUM(DB12:DB13),5)</f>
        <v>0</v>
      </c>
      <c r="DC14" s="312"/>
      <c r="DD14" s="314">
        <f>ROUND(SUM(DD12:DD13),5)</f>
        <v>0</v>
      </c>
      <c r="DE14" s="312"/>
      <c r="DF14" s="314">
        <f>ROUND(R14+V14+CH14+CX14+DB14,5)</f>
        <v>340.41</v>
      </c>
      <c r="DG14" s="312"/>
      <c r="DH14" s="314">
        <f>ROUND(T14+X14+CJ14+CZ14+DD14,5)</f>
        <v>0</v>
      </c>
    </row>
    <row r="15" spans="1:112" x14ac:dyDescent="0.25">
      <c r="A15" s="485"/>
      <c r="B15" s="485"/>
      <c r="C15" s="485" t="s">
        <v>167</v>
      </c>
      <c r="D15" s="485"/>
      <c r="E15" s="485"/>
      <c r="F15" s="468">
        <f>ROUND(F11-F14,5)</f>
        <v>357.02</v>
      </c>
      <c r="G15" s="312"/>
      <c r="H15" s="468"/>
      <c r="I15" s="312"/>
      <c r="J15" s="468">
        <f>ROUND(J11-J14,5)</f>
        <v>0</v>
      </c>
      <c r="K15" s="312"/>
      <c r="L15" s="312"/>
      <c r="M15" s="312"/>
      <c r="N15" s="468">
        <f>ROUND(N11-N14,5)</f>
        <v>201006.76</v>
      </c>
      <c r="O15" s="312"/>
      <c r="P15" s="468">
        <f>ROUND(P11-P14,5)</f>
        <v>197854</v>
      </c>
      <c r="Q15" s="312"/>
      <c r="R15" s="468">
        <f>ROUND(F15+J15+N15,5)</f>
        <v>201363.78</v>
      </c>
      <c r="S15" s="312"/>
      <c r="T15" s="468">
        <f>ROUND(H15+L15+P15,5)</f>
        <v>197854</v>
      </c>
      <c r="U15" s="312"/>
      <c r="V15" s="468">
        <f>ROUND(V11-V14,5)</f>
        <v>86911.039999999994</v>
      </c>
      <c r="W15" s="312"/>
      <c r="X15" s="468">
        <f>ROUND(X11-X14,5)</f>
        <v>93000</v>
      </c>
      <c r="Y15" s="312"/>
      <c r="Z15" s="468">
        <f>ROUND(Z11-Z14,5)</f>
        <v>0</v>
      </c>
      <c r="AA15" s="312"/>
      <c r="AB15" s="468"/>
      <c r="AC15" s="312"/>
      <c r="AD15" s="468">
        <f>ROUND(AD11-AD14,5)</f>
        <v>0</v>
      </c>
      <c r="AE15" s="312"/>
      <c r="AF15" s="468"/>
      <c r="AG15" s="312"/>
      <c r="AH15" s="468">
        <f>ROUND(AH11-AH14,5)</f>
        <v>0</v>
      </c>
      <c r="AI15" s="312"/>
      <c r="AJ15" s="312"/>
      <c r="AK15" s="312"/>
      <c r="AL15" s="468">
        <f>ROUND(Z15+AD15+AH15,5)</f>
        <v>0</v>
      </c>
      <c r="AM15" s="312"/>
      <c r="AN15" s="468"/>
      <c r="AO15" s="312"/>
      <c r="AP15" s="468">
        <f>ROUND(AP11-AP14,5)</f>
        <v>0</v>
      </c>
      <c r="AQ15" s="312"/>
      <c r="AR15" s="468"/>
      <c r="AS15" s="312"/>
      <c r="AT15" s="468">
        <f>ROUND(AT11-AT14,5)</f>
        <v>161.1</v>
      </c>
      <c r="AU15" s="312"/>
      <c r="AV15" s="468"/>
      <c r="AW15" s="312"/>
      <c r="AX15" s="468">
        <f>ROUND(AX11-AX14,5)</f>
        <v>15447.83</v>
      </c>
      <c r="AY15" s="312"/>
      <c r="AZ15" s="468">
        <f>ROUND(AZ11-AZ14,5)</f>
        <v>25000</v>
      </c>
      <c r="BA15" s="312"/>
      <c r="BB15" s="468">
        <f>ROUND(BB11-BB14,5)</f>
        <v>106228.42</v>
      </c>
      <c r="BC15" s="312"/>
      <c r="BD15" s="468">
        <f>ROUND(BD11-BD14,5)</f>
        <v>116250</v>
      </c>
      <c r="BE15" s="312"/>
      <c r="BF15" s="468">
        <f>ROUND(BF11-BF14,5)</f>
        <v>950</v>
      </c>
      <c r="BG15" s="312"/>
      <c r="BH15" s="312"/>
      <c r="BI15" s="312"/>
      <c r="BJ15" s="468">
        <f>ROUND(AX15+BB15+BF15,5)</f>
        <v>122626.25</v>
      </c>
      <c r="BK15" s="312"/>
      <c r="BL15" s="468">
        <f>ROUND(AZ15+BD15+BH15,5)</f>
        <v>141250</v>
      </c>
      <c r="BM15" s="312"/>
      <c r="BN15" s="468">
        <f>ROUND(BN11-BN14,5)</f>
        <v>7020.78</v>
      </c>
      <c r="BO15" s="312"/>
      <c r="BP15" s="468"/>
      <c r="BQ15" s="312"/>
      <c r="BR15" s="468">
        <f>ROUND(BR11-BR14,5)</f>
        <v>2240</v>
      </c>
      <c r="BS15" s="312"/>
      <c r="BT15" s="468">
        <f>ROUND(BT11-BT14,5)</f>
        <v>25000</v>
      </c>
      <c r="BU15" s="312"/>
      <c r="BV15" s="468">
        <f>ROUND(BV11-BV14,5)</f>
        <v>2370</v>
      </c>
      <c r="BW15" s="312"/>
      <c r="BX15" s="468">
        <f>ROUND(BX11-BX14,5)</f>
        <v>7500</v>
      </c>
      <c r="BY15" s="312"/>
      <c r="BZ15" s="468">
        <f>ROUND(BN15+BR15+BV15,5)</f>
        <v>11630.78</v>
      </c>
      <c r="CA15" s="312"/>
      <c r="CB15" s="468">
        <f>ROUND(BP15+BT15+BX15,5)</f>
        <v>32500</v>
      </c>
      <c r="CC15" s="312"/>
      <c r="CD15" s="468">
        <f>ROUND(CD11-CD14,5)</f>
        <v>0</v>
      </c>
      <c r="CE15" s="312"/>
      <c r="CF15" s="312"/>
      <c r="CG15" s="312"/>
      <c r="CH15" s="468">
        <f>ROUND(AL15+AP15+AT15+BJ15+BZ15+CD15,5)</f>
        <v>134418.13</v>
      </c>
      <c r="CI15" s="312"/>
      <c r="CJ15" s="468">
        <f>ROUND(AN15+AR15+AV15+BL15+CB15+CF15,5)</f>
        <v>173750</v>
      </c>
      <c r="CK15" s="312"/>
      <c r="CL15" s="468">
        <f>ROUND(CL11-CL14,5)</f>
        <v>0</v>
      </c>
      <c r="CM15" s="312"/>
      <c r="CN15" s="312"/>
      <c r="CO15" s="312"/>
      <c r="CP15" s="468">
        <f>ROUND(CP11-CP14,5)</f>
        <v>0</v>
      </c>
      <c r="CQ15" s="312"/>
      <c r="CR15" s="312"/>
      <c r="CS15" s="312"/>
      <c r="CT15" s="468">
        <f>ROUND(CT11-CT14,5)</f>
        <v>0</v>
      </c>
      <c r="CU15" s="312"/>
      <c r="CV15" s="312"/>
      <c r="CW15" s="312"/>
      <c r="CX15" s="468">
        <f>ROUND(CL15+CP15+CT15,5)</f>
        <v>0</v>
      </c>
      <c r="CY15" s="312"/>
      <c r="CZ15" s="312"/>
      <c r="DA15" s="312"/>
      <c r="DB15" s="468">
        <f>ROUND(DB11-DB14,5)</f>
        <v>0</v>
      </c>
      <c r="DC15" s="312"/>
      <c r="DD15" s="468">
        <f>ROUND(DD11-DD14,5)</f>
        <v>0</v>
      </c>
      <c r="DE15" s="312"/>
      <c r="DF15" s="468">
        <f>ROUND(R15+V15+CH15+CX15+DB15,5)</f>
        <v>422692.95</v>
      </c>
      <c r="DG15" s="312"/>
      <c r="DH15" s="468">
        <f>ROUND(T15+X15+CJ15+CZ15+DD15,5)</f>
        <v>464604</v>
      </c>
    </row>
    <row r="16" spans="1:112" x14ac:dyDescent="0.25">
      <c r="A16" s="485"/>
      <c r="B16" s="485"/>
      <c r="C16" s="485"/>
      <c r="D16" s="485" t="s">
        <v>168</v>
      </c>
      <c r="E16" s="485"/>
      <c r="F16" s="468"/>
      <c r="G16" s="312"/>
      <c r="H16" s="468"/>
      <c r="I16" s="312"/>
      <c r="J16" s="468"/>
      <c r="K16" s="312"/>
      <c r="L16" s="312"/>
      <c r="M16" s="312"/>
      <c r="N16" s="468"/>
      <c r="O16" s="312"/>
      <c r="P16" s="468"/>
      <c r="Q16" s="312"/>
      <c r="R16" s="468"/>
      <c r="S16" s="312"/>
      <c r="T16" s="468"/>
      <c r="U16" s="312"/>
      <c r="V16" s="468"/>
      <c r="W16" s="312"/>
      <c r="X16" s="468"/>
      <c r="Y16" s="312"/>
      <c r="Z16" s="468"/>
      <c r="AA16" s="312"/>
      <c r="AB16" s="468"/>
      <c r="AC16" s="312"/>
      <c r="AD16" s="468"/>
      <c r="AE16" s="312"/>
      <c r="AF16" s="468"/>
      <c r="AG16" s="312"/>
      <c r="AH16" s="468"/>
      <c r="AI16" s="312"/>
      <c r="AJ16" s="312"/>
      <c r="AK16" s="312"/>
      <c r="AL16" s="468"/>
      <c r="AM16" s="312"/>
      <c r="AN16" s="468"/>
      <c r="AO16" s="312"/>
      <c r="AP16" s="468"/>
      <c r="AQ16" s="312"/>
      <c r="AR16" s="468"/>
      <c r="AS16" s="312"/>
      <c r="AT16" s="468"/>
      <c r="AU16" s="312"/>
      <c r="AV16" s="468"/>
      <c r="AW16" s="312"/>
      <c r="AX16" s="468"/>
      <c r="AY16" s="312"/>
      <c r="AZ16" s="468"/>
      <c r="BA16" s="312"/>
      <c r="BB16" s="468"/>
      <c r="BC16" s="312"/>
      <c r="BD16" s="468"/>
      <c r="BE16" s="312"/>
      <c r="BF16" s="468"/>
      <c r="BG16" s="312"/>
      <c r="BH16" s="312"/>
      <c r="BI16" s="312"/>
      <c r="BJ16" s="468"/>
      <c r="BK16" s="312"/>
      <c r="BL16" s="468"/>
      <c r="BM16" s="312"/>
      <c r="BN16" s="468"/>
      <c r="BO16" s="312"/>
      <c r="BP16" s="468"/>
      <c r="BQ16" s="312"/>
      <c r="BR16" s="468"/>
      <c r="BS16" s="312"/>
      <c r="BT16" s="468"/>
      <c r="BU16" s="312"/>
      <c r="BV16" s="468"/>
      <c r="BW16" s="312"/>
      <c r="BX16" s="468"/>
      <c r="BY16" s="312"/>
      <c r="BZ16" s="468"/>
      <c r="CA16" s="312"/>
      <c r="CB16" s="468"/>
      <c r="CC16" s="312"/>
      <c r="CD16" s="468"/>
      <c r="CE16" s="312"/>
      <c r="CF16" s="312"/>
      <c r="CG16" s="312"/>
      <c r="CH16" s="468"/>
      <c r="CI16" s="312"/>
      <c r="CJ16" s="468"/>
      <c r="CK16" s="312"/>
      <c r="CL16" s="468"/>
      <c r="CM16" s="312"/>
      <c r="CN16" s="312"/>
      <c r="CO16" s="312"/>
      <c r="CP16" s="468"/>
      <c r="CQ16" s="312"/>
      <c r="CR16" s="312"/>
      <c r="CS16" s="312"/>
      <c r="CT16" s="468"/>
      <c r="CU16" s="312"/>
      <c r="CV16" s="312"/>
      <c r="CW16" s="312"/>
      <c r="CX16" s="468"/>
      <c r="CY16" s="312"/>
      <c r="CZ16" s="312"/>
      <c r="DA16" s="312"/>
      <c r="DB16" s="468"/>
      <c r="DC16" s="312"/>
      <c r="DD16" s="468"/>
      <c r="DE16" s="312"/>
      <c r="DF16" s="468"/>
      <c r="DG16" s="312"/>
      <c r="DH16" s="468"/>
    </row>
    <row r="17" spans="1:112" x14ac:dyDescent="0.25">
      <c r="A17" s="485"/>
      <c r="B17" s="485"/>
      <c r="C17" s="485"/>
      <c r="D17" s="485"/>
      <c r="E17" s="485" t="s">
        <v>169</v>
      </c>
      <c r="F17" s="468">
        <v>8058.77</v>
      </c>
      <c r="G17" s="312"/>
      <c r="H17" s="468">
        <v>11222</v>
      </c>
      <c r="I17" s="312"/>
      <c r="J17" s="468">
        <v>0</v>
      </c>
      <c r="K17" s="312"/>
      <c r="L17" s="312"/>
      <c r="M17" s="312"/>
      <c r="N17" s="468">
        <v>23609.29</v>
      </c>
      <c r="O17" s="312"/>
      <c r="P17" s="468">
        <v>21729</v>
      </c>
      <c r="Q17" s="312"/>
      <c r="R17" s="468">
        <f t="shared" ref="R17:R37" si="8">ROUND(F17+J17+N17,5)</f>
        <v>31668.06</v>
      </c>
      <c r="S17" s="312"/>
      <c r="T17" s="468">
        <f t="shared" ref="T17:T27" si="9">ROUND(H17+L17+P17,5)</f>
        <v>32951</v>
      </c>
      <c r="U17" s="312"/>
      <c r="V17" s="468">
        <v>40936.33</v>
      </c>
      <c r="W17" s="312"/>
      <c r="X17" s="468">
        <v>47943</v>
      </c>
      <c r="Y17" s="312"/>
      <c r="Z17" s="468">
        <v>1428.19</v>
      </c>
      <c r="AA17" s="312"/>
      <c r="AB17" s="468">
        <v>1601</v>
      </c>
      <c r="AC17" s="312"/>
      <c r="AD17" s="468">
        <v>3513.42</v>
      </c>
      <c r="AE17" s="312"/>
      <c r="AF17" s="468">
        <v>6974</v>
      </c>
      <c r="AG17" s="312"/>
      <c r="AH17" s="468">
        <v>0</v>
      </c>
      <c r="AI17" s="312"/>
      <c r="AJ17" s="312"/>
      <c r="AK17" s="312"/>
      <c r="AL17" s="468">
        <f t="shared" ref="AL17:AL37" si="10">ROUND(Z17+AD17+AH17,5)</f>
        <v>4941.6099999999997</v>
      </c>
      <c r="AM17" s="312"/>
      <c r="AN17" s="468">
        <f>ROUND(AB17+AF17+AJ17,5)</f>
        <v>8575</v>
      </c>
      <c r="AO17" s="312"/>
      <c r="AP17" s="468">
        <v>2384.1999999999998</v>
      </c>
      <c r="AQ17" s="312"/>
      <c r="AR17" s="468">
        <v>3199</v>
      </c>
      <c r="AS17" s="312"/>
      <c r="AT17" s="468">
        <v>7710.91</v>
      </c>
      <c r="AU17" s="312"/>
      <c r="AV17" s="468">
        <v>10944</v>
      </c>
      <c r="AW17" s="312"/>
      <c r="AX17" s="468">
        <v>3331.35</v>
      </c>
      <c r="AY17" s="312"/>
      <c r="AZ17" s="468">
        <v>3742</v>
      </c>
      <c r="BA17" s="312"/>
      <c r="BB17" s="468">
        <v>44061.37</v>
      </c>
      <c r="BC17" s="312"/>
      <c r="BD17" s="468">
        <v>41305</v>
      </c>
      <c r="BE17" s="312"/>
      <c r="BF17" s="468">
        <v>0</v>
      </c>
      <c r="BG17" s="312"/>
      <c r="BH17" s="312"/>
      <c r="BI17" s="312"/>
      <c r="BJ17" s="468">
        <f t="shared" ref="BJ17:BJ37" si="11">ROUND(AX17+BB17+BF17,5)</f>
        <v>47392.72</v>
      </c>
      <c r="BK17" s="312"/>
      <c r="BL17" s="468">
        <f>ROUND(AZ17+BD17+BH17,5)</f>
        <v>45047</v>
      </c>
      <c r="BM17" s="312"/>
      <c r="BN17" s="468">
        <v>6011.43</v>
      </c>
      <c r="BO17" s="312"/>
      <c r="BP17" s="468">
        <v>18139</v>
      </c>
      <c r="BQ17" s="312"/>
      <c r="BR17" s="468">
        <v>30056.67</v>
      </c>
      <c r="BS17" s="312"/>
      <c r="BT17" s="468">
        <v>47366</v>
      </c>
      <c r="BU17" s="312"/>
      <c r="BV17" s="468">
        <v>83393.7</v>
      </c>
      <c r="BW17" s="312"/>
      <c r="BX17" s="468">
        <v>78826</v>
      </c>
      <c r="BY17" s="312"/>
      <c r="BZ17" s="468">
        <f t="shared" ref="BZ17:BZ37" si="12">ROUND(BN17+BR17+BV17,5)</f>
        <v>119461.8</v>
      </c>
      <c r="CA17" s="312"/>
      <c r="CB17" s="468">
        <f>ROUND(BP17+BT17+BX17,5)</f>
        <v>144331</v>
      </c>
      <c r="CC17" s="312"/>
      <c r="CD17" s="468">
        <v>0</v>
      </c>
      <c r="CE17" s="312"/>
      <c r="CF17" s="312"/>
      <c r="CG17" s="312"/>
      <c r="CH17" s="468">
        <f t="shared" ref="CH17:CH37" si="13">ROUND(AL17+AP17+AT17+BJ17+BZ17+CD17,5)</f>
        <v>181891.24</v>
      </c>
      <c r="CI17" s="312"/>
      <c r="CJ17" s="468">
        <f>ROUND(AN17+AR17+AV17+BL17+CB17+CF17,5)</f>
        <v>212096</v>
      </c>
      <c r="CK17" s="312"/>
      <c r="CL17" s="468">
        <v>0</v>
      </c>
      <c r="CM17" s="312"/>
      <c r="CN17" s="312"/>
      <c r="CO17" s="312"/>
      <c r="CP17" s="468">
        <v>0</v>
      </c>
      <c r="CQ17" s="312"/>
      <c r="CR17" s="312"/>
      <c r="CS17" s="312"/>
      <c r="CT17" s="468">
        <v>0</v>
      </c>
      <c r="CU17" s="312"/>
      <c r="CV17" s="312"/>
      <c r="CW17" s="312"/>
      <c r="CX17" s="468">
        <f t="shared" ref="CX17:CX37" si="14">ROUND(CL17+CP17+CT17,5)</f>
        <v>0</v>
      </c>
      <c r="CY17" s="312"/>
      <c r="CZ17" s="312"/>
      <c r="DA17" s="312"/>
      <c r="DB17" s="468">
        <v>-0.06</v>
      </c>
      <c r="DC17" s="312"/>
      <c r="DD17" s="468">
        <v>0</v>
      </c>
      <c r="DE17" s="312"/>
      <c r="DF17" s="468">
        <f t="shared" ref="DF17:DF37" si="15">ROUND(R17+V17+CH17+CX17+DB17,5)</f>
        <v>254495.57</v>
      </c>
      <c r="DG17" s="312"/>
      <c r="DH17" s="468">
        <f t="shared" ref="DH17:DH37" si="16">ROUND(T17+X17+CJ17+CZ17+DD17,5)</f>
        <v>292990</v>
      </c>
    </row>
    <row r="18" spans="1:112" x14ac:dyDescent="0.25">
      <c r="A18" s="485"/>
      <c r="B18" s="485"/>
      <c r="C18" s="485"/>
      <c r="D18" s="485"/>
      <c r="E18" s="485" t="s">
        <v>170</v>
      </c>
      <c r="F18" s="468">
        <v>0</v>
      </c>
      <c r="G18" s="312"/>
      <c r="H18" s="468"/>
      <c r="I18" s="312"/>
      <c r="J18" s="468">
        <v>0</v>
      </c>
      <c r="K18" s="312"/>
      <c r="L18" s="312"/>
      <c r="M18" s="312"/>
      <c r="N18" s="468">
        <v>10587</v>
      </c>
      <c r="O18" s="312"/>
      <c r="P18" s="468">
        <v>22467</v>
      </c>
      <c r="Q18" s="312"/>
      <c r="R18" s="468">
        <f t="shared" si="8"/>
        <v>10587</v>
      </c>
      <c r="S18" s="312"/>
      <c r="T18" s="468">
        <f t="shared" si="9"/>
        <v>22467</v>
      </c>
      <c r="U18" s="312"/>
      <c r="V18" s="468">
        <v>0</v>
      </c>
      <c r="W18" s="312"/>
      <c r="X18" s="468"/>
      <c r="Y18" s="312"/>
      <c r="Z18" s="468">
        <v>0</v>
      </c>
      <c r="AA18" s="312"/>
      <c r="AB18" s="468"/>
      <c r="AC18" s="312"/>
      <c r="AD18" s="468">
        <v>0</v>
      </c>
      <c r="AE18" s="312"/>
      <c r="AF18" s="468"/>
      <c r="AG18" s="312"/>
      <c r="AH18" s="468">
        <v>0</v>
      </c>
      <c r="AI18" s="312"/>
      <c r="AJ18" s="312"/>
      <c r="AK18" s="312"/>
      <c r="AL18" s="468">
        <f t="shared" si="10"/>
        <v>0</v>
      </c>
      <c r="AM18" s="312"/>
      <c r="AN18" s="468"/>
      <c r="AO18" s="312"/>
      <c r="AP18" s="468">
        <v>0</v>
      </c>
      <c r="AQ18" s="312"/>
      <c r="AR18" s="468"/>
      <c r="AS18" s="312"/>
      <c r="AT18" s="468">
        <v>0</v>
      </c>
      <c r="AU18" s="312"/>
      <c r="AV18" s="468"/>
      <c r="AW18" s="312"/>
      <c r="AX18" s="468">
        <v>0</v>
      </c>
      <c r="AY18" s="312"/>
      <c r="AZ18" s="468"/>
      <c r="BA18" s="312"/>
      <c r="BB18" s="468">
        <v>0</v>
      </c>
      <c r="BC18" s="312"/>
      <c r="BD18" s="468"/>
      <c r="BE18" s="312"/>
      <c r="BF18" s="468">
        <v>0</v>
      </c>
      <c r="BG18" s="312"/>
      <c r="BH18" s="312"/>
      <c r="BI18" s="312"/>
      <c r="BJ18" s="468">
        <f t="shared" si="11"/>
        <v>0</v>
      </c>
      <c r="BK18" s="312"/>
      <c r="BL18" s="468"/>
      <c r="BM18" s="312"/>
      <c r="BN18" s="468">
        <v>0</v>
      </c>
      <c r="BO18" s="312"/>
      <c r="BP18" s="468"/>
      <c r="BQ18" s="312"/>
      <c r="BR18" s="468">
        <v>0</v>
      </c>
      <c r="BS18" s="312"/>
      <c r="BT18" s="468"/>
      <c r="BU18" s="312"/>
      <c r="BV18" s="468">
        <v>0</v>
      </c>
      <c r="BW18" s="312"/>
      <c r="BX18" s="468"/>
      <c r="BY18" s="312"/>
      <c r="BZ18" s="468">
        <f t="shared" si="12"/>
        <v>0</v>
      </c>
      <c r="CA18" s="312"/>
      <c r="CB18" s="468"/>
      <c r="CC18" s="312"/>
      <c r="CD18" s="468">
        <v>0</v>
      </c>
      <c r="CE18" s="312"/>
      <c r="CF18" s="312"/>
      <c r="CG18" s="312"/>
      <c r="CH18" s="468">
        <f t="shared" si="13"/>
        <v>0</v>
      </c>
      <c r="CI18" s="312"/>
      <c r="CJ18" s="468"/>
      <c r="CK18" s="312"/>
      <c r="CL18" s="468">
        <v>0</v>
      </c>
      <c r="CM18" s="312"/>
      <c r="CN18" s="312"/>
      <c r="CO18" s="312"/>
      <c r="CP18" s="468">
        <v>0</v>
      </c>
      <c r="CQ18" s="312"/>
      <c r="CR18" s="312"/>
      <c r="CS18" s="312"/>
      <c r="CT18" s="468">
        <v>0</v>
      </c>
      <c r="CU18" s="312"/>
      <c r="CV18" s="312"/>
      <c r="CW18" s="312"/>
      <c r="CX18" s="468">
        <f t="shared" si="14"/>
        <v>0</v>
      </c>
      <c r="CY18" s="312"/>
      <c r="CZ18" s="312"/>
      <c r="DA18" s="312"/>
      <c r="DB18" s="468">
        <v>0</v>
      </c>
      <c r="DC18" s="312"/>
      <c r="DD18" s="468">
        <v>0</v>
      </c>
      <c r="DE18" s="312"/>
      <c r="DF18" s="468">
        <f t="shared" si="15"/>
        <v>10587</v>
      </c>
      <c r="DG18" s="312"/>
      <c r="DH18" s="468">
        <f t="shared" si="16"/>
        <v>22467</v>
      </c>
    </row>
    <row r="19" spans="1:112" x14ac:dyDescent="0.25">
      <c r="A19" s="485"/>
      <c r="B19" s="485"/>
      <c r="C19" s="485"/>
      <c r="D19" s="485"/>
      <c r="E19" s="485" t="s">
        <v>171</v>
      </c>
      <c r="F19" s="468">
        <v>0</v>
      </c>
      <c r="G19" s="312"/>
      <c r="H19" s="468"/>
      <c r="I19" s="312"/>
      <c r="J19" s="468">
        <v>0</v>
      </c>
      <c r="K19" s="312"/>
      <c r="L19" s="312"/>
      <c r="M19" s="312"/>
      <c r="N19" s="468">
        <v>1399.43</v>
      </c>
      <c r="O19" s="312"/>
      <c r="P19" s="468">
        <v>4800</v>
      </c>
      <c r="Q19" s="312"/>
      <c r="R19" s="468">
        <f t="shared" si="8"/>
        <v>1399.43</v>
      </c>
      <c r="S19" s="312"/>
      <c r="T19" s="468">
        <f t="shared" si="9"/>
        <v>4800</v>
      </c>
      <c r="U19" s="312"/>
      <c r="V19" s="468">
        <v>4242.33</v>
      </c>
      <c r="W19" s="312"/>
      <c r="X19" s="468"/>
      <c r="Y19" s="312"/>
      <c r="Z19" s="468">
        <v>0</v>
      </c>
      <c r="AA19" s="312"/>
      <c r="AB19" s="468"/>
      <c r="AC19" s="312"/>
      <c r="AD19" s="468">
        <v>0</v>
      </c>
      <c r="AE19" s="312"/>
      <c r="AF19" s="468"/>
      <c r="AG19" s="312"/>
      <c r="AH19" s="468">
        <v>0</v>
      </c>
      <c r="AI19" s="312"/>
      <c r="AJ19" s="312"/>
      <c r="AK19" s="312"/>
      <c r="AL19" s="468">
        <f t="shared" si="10"/>
        <v>0</v>
      </c>
      <c r="AM19" s="312"/>
      <c r="AN19" s="468"/>
      <c r="AO19" s="312"/>
      <c r="AP19" s="468">
        <v>0</v>
      </c>
      <c r="AQ19" s="312"/>
      <c r="AR19" s="468"/>
      <c r="AS19" s="312"/>
      <c r="AT19" s="468">
        <v>0</v>
      </c>
      <c r="AU19" s="312"/>
      <c r="AV19" s="468"/>
      <c r="AW19" s="312"/>
      <c r="AX19" s="468">
        <v>170.19</v>
      </c>
      <c r="AY19" s="312"/>
      <c r="AZ19" s="468"/>
      <c r="BA19" s="312"/>
      <c r="BB19" s="468">
        <v>1058.73</v>
      </c>
      <c r="BC19" s="312"/>
      <c r="BD19" s="468"/>
      <c r="BE19" s="312"/>
      <c r="BF19" s="468">
        <v>0</v>
      </c>
      <c r="BG19" s="312"/>
      <c r="BH19" s="312"/>
      <c r="BI19" s="312"/>
      <c r="BJ19" s="468">
        <f t="shared" si="11"/>
        <v>1228.92</v>
      </c>
      <c r="BK19" s="312"/>
      <c r="BL19" s="468"/>
      <c r="BM19" s="312"/>
      <c r="BN19" s="468">
        <v>0</v>
      </c>
      <c r="BO19" s="312"/>
      <c r="BP19" s="468"/>
      <c r="BQ19" s="312"/>
      <c r="BR19" s="468">
        <v>7.49</v>
      </c>
      <c r="BS19" s="312"/>
      <c r="BT19" s="468"/>
      <c r="BU19" s="312"/>
      <c r="BV19" s="468">
        <v>0</v>
      </c>
      <c r="BW19" s="312"/>
      <c r="BX19" s="468"/>
      <c r="BY19" s="312"/>
      <c r="BZ19" s="468">
        <f t="shared" si="12"/>
        <v>7.49</v>
      </c>
      <c r="CA19" s="312"/>
      <c r="CB19" s="468"/>
      <c r="CC19" s="312"/>
      <c r="CD19" s="468">
        <v>0</v>
      </c>
      <c r="CE19" s="312"/>
      <c r="CF19" s="312"/>
      <c r="CG19" s="312"/>
      <c r="CH19" s="468">
        <f t="shared" si="13"/>
        <v>1236.4100000000001</v>
      </c>
      <c r="CI19" s="312"/>
      <c r="CJ19" s="468"/>
      <c r="CK19" s="312"/>
      <c r="CL19" s="468">
        <v>0</v>
      </c>
      <c r="CM19" s="312"/>
      <c r="CN19" s="312"/>
      <c r="CO19" s="312"/>
      <c r="CP19" s="468">
        <v>0</v>
      </c>
      <c r="CQ19" s="312"/>
      <c r="CR19" s="312"/>
      <c r="CS19" s="312"/>
      <c r="CT19" s="468">
        <v>0</v>
      </c>
      <c r="CU19" s="312"/>
      <c r="CV19" s="312"/>
      <c r="CW19" s="312"/>
      <c r="CX19" s="468">
        <f t="shared" si="14"/>
        <v>0</v>
      </c>
      <c r="CY19" s="312"/>
      <c r="CZ19" s="312"/>
      <c r="DA19" s="312"/>
      <c r="DB19" s="468">
        <v>0</v>
      </c>
      <c r="DC19" s="312"/>
      <c r="DD19" s="468">
        <v>0</v>
      </c>
      <c r="DE19" s="312"/>
      <c r="DF19" s="468">
        <f t="shared" si="15"/>
        <v>6878.17</v>
      </c>
      <c r="DG19" s="312"/>
      <c r="DH19" s="468">
        <f t="shared" si="16"/>
        <v>4800</v>
      </c>
    </row>
    <row r="20" spans="1:112" x14ac:dyDescent="0.25">
      <c r="A20" s="485"/>
      <c r="B20" s="485"/>
      <c r="C20" s="485"/>
      <c r="D20" s="485"/>
      <c r="E20" s="485" t="s">
        <v>172</v>
      </c>
      <c r="F20" s="468">
        <v>0</v>
      </c>
      <c r="G20" s="312"/>
      <c r="H20" s="468"/>
      <c r="I20" s="312"/>
      <c r="J20" s="468">
        <v>0</v>
      </c>
      <c r="K20" s="312"/>
      <c r="L20" s="312"/>
      <c r="M20" s="312"/>
      <c r="N20" s="468">
        <v>880</v>
      </c>
      <c r="O20" s="312"/>
      <c r="P20" s="468">
        <v>0</v>
      </c>
      <c r="Q20" s="312"/>
      <c r="R20" s="468">
        <f t="shared" si="8"/>
        <v>880</v>
      </c>
      <c r="S20" s="312"/>
      <c r="T20" s="468">
        <f t="shared" si="9"/>
        <v>0</v>
      </c>
      <c r="U20" s="312"/>
      <c r="V20" s="468">
        <v>0</v>
      </c>
      <c r="W20" s="312"/>
      <c r="X20" s="468"/>
      <c r="Y20" s="312"/>
      <c r="Z20" s="468">
        <v>0</v>
      </c>
      <c r="AA20" s="312"/>
      <c r="AB20" s="468"/>
      <c r="AC20" s="312"/>
      <c r="AD20" s="468">
        <v>0</v>
      </c>
      <c r="AE20" s="312"/>
      <c r="AF20" s="468"/>
      <c r="AG20" s="312"/>
      <c r="AH20" s="468">
        <v>0</v>
      </c>
      <c r="AI20" s="312"/>
      <c r="AJ20" s="312"/>
      <c r="AK20" s="312"/>
      <c r="AL20" s="468">
        <f t="shared" si="10"/>
        <v>0</v>
      </c>
      <c r="AM20" s="312"/>
      <c r="AN20" s="468"/>
      <c r="AO20" s="312"/>
      <c r="AP20" s="468">
        <v>0</v>
      </c>
      <c r="AQ20" s="312"/>
      <c r="AR20" s="468"/>
      <c r="AS20" s="312"/>
      <c r="AT20" s="468">
        <v>0</v>
      </c>
      <c r="AU20" s="312"/>
      <c r="AV20" s="468"/>
      <c r="AW20" s="312"/>
      <c r="AX20" s="468">
        <v>0</v>
      </c>
      <c r="AY20" s="312"/>
      <c r="AZ20" s="468"/>
      <c r="BA20" s="312"/>
      <c r="BB20" s="468">
        <v>0</v>
      </c>
      <c r="BC20" s="312"/>
      <c r="BD20" s="468"/>
      <c r="BE20" s="312"/>
      <c r="BF20" s="468">
        <v>0</v>
      </c>
      <c r="BG20" s="312"/>
      <c r="BH20" s="312"/>
      <c r="BI20" s="312"/>
      <c r="BJ20" s="468">
        <f t="shared" si="11"/>
        <v>0</v>
      </c>
      <c r="BK20" s="312"/>
      <c r="BL20" s="468"/>
      <c r="BM20" s="312"/>
      <c r="BN20" s="468">
        <v>3479.69</v>
      </c>
      <c r="BO20" s="312"/>
      <c r="BP20" s="468"/>
      <c r="BQ20" s="312"/>
      <c r="BR20" s="468">
        <v>0</v>
      </c>
      <c r="BS20" s="312"/>
      <c r="BT20" s="468"/>
      <c r="BU20" s="312"/>
      <c r="BV20" s="468">
        <v>0</v>
      </c>
      <c r="BW20" s="312"/>
      <c r="BX20" s="468"/>
      <c r="BY20" s="312"/>
      <c r="BZ20" s="468">
        <f t="shared" si="12"/>
        <v>3479.69</v>
      </c>
      <c r="CA20" s="312"/>
      <c r="CB20" s="468"/>
      <c r="CC20" s="312"/>
      <c r="CD20" s="468">
        <v>0</v>
      </c>
      <c r="CE20" s="312"/>
      <c r="CF20" s="312"/>
      <c r="CG20" s="312"/>
      <c r="CH20" s="468">
        <f t="shared" si="13"/>
        <v>3479.69</v>
      </c>
      <c r="CI20" s="312"/>
      <c r="CJ20" s="468"/>
      <c r="CK20" s="312"/>
      <c r="CL20" s="468">
        <v>0</v>
      </c>
      <c r="CM20" s="312"/>
      <c r="CN20" s="312"/>
      <c r="CO20" s="312"/>
      <c r="CP20" s="468">
        <v>0</v>
      </c>
      <c r="CQ20" s="312"/>
      <c r="CR20" s="312"/>
      <c r="CS20" s="312"/>
      <c r="CT20" s="468">
        <v>0</v>
      </c>
      <c r="CU20" s="312"/>
      <c r="CV20" s="312"/>
      <c r="CW20" s="312"/>
      <c r="CX20" s="468">
        <f t="shared" si="14"/>
        <v>0</v>
      </c>
      <c r="CY20" s="312"/>
      <c r="CZ20" s="312"/>
      <c r="DA20" s="312"/>
      <c r="DB20" s="468">
        <v>0</v>
      </c>
      <c r="DC20" s="312"/>
      <c r="DD20" s="468">
        <v>0</v>
      </c>
      <c r="DE20" s="312"/>
      <c r="DF20" s="468">
        <f t="shared" si="15"/>
        <v>4359.6899999999996</v>
      </c>
      <c r="DG20" s="312"/>
      <c r="DH20" s="468">
        <f t="shared" si="16"/>
        <v>0</v>
      </c>
    </row>
    <row r="21" spans="1:112" x14ac:dyDescent="0.25">
      <c r="A21" s="485"/>
      <c r="B21" s="485"/>
      <c r="C21" s="485"/>
      <c r="D21" s="485"/>
      <c r="E21" s="485" t="s">
        <v>173</v>
      </c>
      <c r="F21" s="468">
        <v>269.74</v>
      </c>
      <c r="G21" s="312"/>
      <c r="H21" s="468">
        <v>33</v>
      </c>
      <c r="I21" s="312"/>
      <c r="J21" s="468">
        <v>0</v>
      </c>
      <c r="K21" s="312"/>
      <c r="L21" s="312"/>
      <c r="M21" s="312"/>
      <c r="N21" s="468">
        <v>685.29</v>
      </c>
      <c r="O21" s="312"/>
      <c r="P21" s="468">
        <v>479</v>
      </c>
      <c r="Q21" s="312"/>
      <c r="R21" s="468">
        <f t="shared" si="8"/>
        <v>955.03</v>
      </c>
      <c r="S21" s="312"/>
      <c r="T21" s="468">
        <f t="shared" si="9"/>
        <v>512</v>
      </c>
      <c r="U21" s="312"/>
      <c r="V21" s="468">
        <v>702.55</v>
      </c>
      <c r="W21" s="312"/>
      <c r="X21" s="468">
        <v>432</v>
      </c>
      <c r="Y21" s="312"/>
      <c r="Z21" s="468">
        <v>7.57</v>
      </c>
      <c r="AA21" s="312"/>
      <c r="AB21" s="468">
        <v>7</v>
      </c>
      <c r="AC21" s="312"/>
      <c r="AD21" s="468">
        <v>88.69</v>
      </c>
      <c r="AE21" s="312"/>
      <c r="AF21" s="468">
        <v>1013</v>
      </c>
      <c r="AG21" s="312"/>
      <c r="AH21" s="468">
        <v>0</v>
      </c>
      <c r="AI21" s="312"/>
      <c r="AJ21" s="312"/>
      <c r="AK21" s="312"/>
      <c r="AL21" s="468">
        <f t="shared" si="10"/>
        <v>96.26</v>
      </c>
      <c r="AM21" s="312"/>
      <c r="AN21" s="468">
        <f t="shared" ref="AN21:AN27" si="17">ROUND(AB21+AF21+AJ21,5)</f>
        <v>1020</v>
      </c>
      <c r="AO21" s="312"/>
      <c r="AP21" s="468">
        <v>15.14</v>
      </c>
      <c r="AQ21" s="312"/>
      <c r="AR21" s="468">
        <v>13</v>
      </c>
      <c r="AS21" s="312"/>
      <c r="AT21" s="468">
        <v>152.04</v>
      </c>
      <c r="AU21" s="312"/>
      <c r="AV21" s="468">
        <v>39</v>
      </c>
      <c r="AW21" s="312"/>
      <c r="AX21" s="468">
        <v>65.31</v>
      </c>
      <c r="AY21" s="312"/>
      <c r="AZ21" s="468">
        <v>13</v>
      </c>
      <c r="BA21" s="312"/>
      <c r="BB21" s="468">
        <v>553.69000000000005</v>
      </c>
      <c r="BC21" s="312"/>
      <c r="BD21" s="468">
        <v>197</v>
      </c>
      <c r="BE21" s="312"/>
      <c r="BF21" s="468">
        <v>0</v>
      </c>
      <c r="BG21" s="312"/>
      <c r="BH21" s="312"/>
      <c r="BI21" s="312"/>
      <c r="BJ21" s="468">
        <f t="shared" si="11"/>
        <v>619</v>
      </c>
      <c r="BK21" s="312"/>
      <c r="BL21" s="468">
        <f t="shared" ref="BL21:BL29" si="18">ROUND(AZ21+BD21+BH21,5)</f>
        <v>210</v>
      </c>
      <c r="BM21" s="312"/>
      <c r="BN21" s="468">
        <v>268.2</v>
      </c>
      <c r="BO21" s="312"/>
      <c r="BP21" s="468">
        <v>53</v>
      </c>
      <c r="BQ21" s="312"/>
      <c r="BR21" s="468">
        <v>350.53</v>
      </c>
      <c r="BS21" s="312"/>
      <c r="BT21" s="468">
        <v>263</v>
      </c>
      <c r="BU21" s="312"/>
      <c r="BV21" s="468">
        <v>810.65</v>
      </c>
      <c r="BW21" s="312"/>
      <c r="BX21" s="468">
        <v>497</v>
      </c>
      <c r="BY21" s="312"/>
      <c r="BZ21" s="468">
        <f t="shared" si="12"/>
        <v>1429.38</v>
      </c>
      <c r="CA21" s="312"/>
      <c r="CB21" s="468">
        <f t="shared" ref="CB21:CB27" si="19">ROUND(BP21+BT21+BX21,5)</f>
        <v>813</v>
      </c>
      <c r="CC21" s="312"/>
      <c r="CD21" s="468">
        <v>0</v>
      </c>
      <c r="CE21" s="312"/>
      <c r="CF21" s="312"/>
      <c r="CG21" s="312"/>
      <c r="CH21" s="468">
        <f t="shared" si="13"/>
        <v>2311.8200000000002</v>
      </c>
      <c r="CI21" s="312"/>
      <c r="CJ21" s="468">
        <f t="shared" ref="CJ21:CJ32" si="20">ROUND(AN21+AR21+AV21+BL21+CB21+CF21,5)</f>
        <v>2095</v>
      </c>
      <c r="CK21" s="312"/>
      <c r="CL21" s="468">
        <v>0</v>
      </c>
      <c r="CM21" s="312"/>
      <c r="CN21" s="312"/>
      <c r="CO21" s="312"/>
      <c r="CP21" s="468">
        <v>0</v>
      </c>
      <c r="CQ21" s="312"/>
      <c r="CR21" s="312"/>
      <c r="CS21" s="312"/>
      <c r="CT21" s="468">
        <v>0</v>
      </c>
      <c r="CU21" s="312"/>
      <c r="CV21" s="312"/>
      <c r="CW21" s="312"/>
      <c r="CX21" s="468">
        <f t="shared" si="14"/>
        <v>0</v>
      </c>
      <c r="CY21" s="312"/>
      <c r="CZ21" s="312"/>
      <c r="DA21" s="312"/>
      <c r="DB21" s="468">
        <v>0</v>
      </c>
      <c r="DC21" s="312"/>
      <c r="DD21" s="468">
        <v>0</v>
      </c>
      <c r="DE21" s="312"/>
      <c r="DF21" s="468">
        <f t="shared" si="15"/>
        <v>3969.4</v>
      </c>
      <c r="DG21" s="312"/>
      <c r="DH21" s="468">
        <f t="shared" si="16"/>
        <v>3039</v>
      </c>
    </row>
    <row r="22" spans="1:112" x14ac:dyDescent="0.25">
      <c r="A22" s="485"/>
      <c r="B22" s="485"/>
      <c r="C22" s="485"/>
      <c r="D22" s="485"/>
      <c r="E22" s="485" t="s">
        <v>174</v>
      </c>
      <c r="F22" s="468">
        <v>119.2</v>
      </c>
      <c r="G22" s="312"/>
      <c r="H22" s="468">
        <v>129</v>
      </c>
      <c r="I22" s="312"/>
      <c r="J22" s="468">
        <v>0</v>
      </c>
      <c r="K22" s="312"/>
      <c r="L22" s="312"/>
      <c r="M22" s="312"/>
      <c r="N22" s="468">
        <v>372.33</v>
      </c>
      <c r="O22" s="312"/>
      <c r="P22" s="468">
        <v>2289</v>
      </c>
      <c r="Q22" s="312"/>
      <c r="R22" s="468">
        <f t="shared" si="8"/>
        <v>491.53</v>
      </c>
      <c r="S22" s="312"/>
      <c r="T22" s="468">
        <f t="shared" si="9"/>
        <v>2418</v>
      </c>
      <c r="U22" s="312"/>
      <c r="V22" s="468">
        <v>574.69000000000005</v>
      </c>
      <c r="W22" s="312"/>
      <c r="X22" s="468">
        <v>1595</v>
      </c>
      <c r="Y22" s="312"/>
      <c r="Z22" s="468">
        <v>25.38</v>
      </c>
      <c r="AA22" s="312"/>
      <c r="AB22" s="468">
        <v>26</v>
      </c>
      <c r="AC22" s="312"/>
      <c r="AD22" s="468">
        <v>50.58</v>
      </c>
      <c r="AE22" s="312"/>
      <c r="AF22" s="468">
        <v>52</v>
      </c>
      <c r="AG22" s="312"/>
      <c r="AH22" s="468">
        <v>0</v>
      </c>
      <c r="AI22" s="312"/>
      <c r="AJ22" s="312"/>
      <c r="AK22" s="312"/>
      <c r="AL22" s="468">
        <f t="shared" si="10"/>
        <v>75.959999999999994</v>
      </c>
      <c r="AM22" s="312"/>
      <c r="AN22" s="468">
        <f t="shared" si="17"/>
        <v>78</v>
      </c>
      <c r="AO22" s="312"/>
      <c r="AP22" s="468">
        <v>43.03</v>
      </c>
      <c r="AQ22" s="312"/>
      <c r="AR22" s="468">
        <v>52</v>
      </c>
      <c r="AS22" s="312"/>
      <c r="AT22" s="468">
        <v>121.52</v>
      </c>
      <c r="AU22" s="312"/>
      <c r="AV22" s="468">
        <v>155</v>
      </c>
      <c r="AW22" s="312"/>
      <c r="AX22" s="468">
        <v>65.87</v>
      </c>
      <c r="AY22" s="312"/>
      <c r="AZ22" s="468">
        <v>52</v>
      </c>
      <c r="BA22" s="312"/>
      <c r="BB22" s="468">
        <v>801.71</v>
      </c>
      <c r="BC22" s="312"/>
      <c r="BD22" s="468">
        <v>6713</v>
      </c>
      <c r="BE22" s="312"/>
      <c r="BF22" s="468">
        <v>0</v>
      </c>
      <c r="BG22" s="312"/>
      <c r="BH22" s="312"/>
      <c r="BI22" s="312"/>
      <c r="BJ22" s="468">
        <f t="shared" si="11"/>
        <v>867.58</v>
      </c>
      <c r="BK22" s="312"/>
      <c r="BL22" s="468">
        <f t="shared" si="18"/>
        <v>6765</v>
      </c>
      <c r="BM22" s="312"/>
      <c r="BN22" s="468">
        <v>157.44</v>
      </c>
      <c r="BO22" s="312"/>
      <c r="BP22" s="468">
        <v>206</v>
      </c>
      <c r="BQ22" s="312"/>
      <c r="BR22" s="468">
        <v>1015.56</v>
      </c>
      <c r="BS22" s="312"/>
      <c r="BT22" s="468">
        <v>1030</v>
      </c>
      <c r="BU22" s="312"/>
      <c r="BV22" s="468">
        <v>872.01</v>
      </c>
      <c r="BW22" s="312"/>
      <c r="BX22" s="468">
        <v>773</v>
      </c>
      <c r="BY22" s="312"/>
      <c r="BZ22" s="468">
        <f t="shared" si="12"/>
        <v>2045.01</v>
      </c>
      <c r="CA22" s="312"/>
      <c r="CB22" s="468">
        <f t="shared" si="19"/>
        <v>2009</v>
      </c>
      <c r="CC22" s="312"/>
      <c r="CD22" s="468">
        <v>0</v>
      </c>
      <c r="CE22" s="312"/>
      <c r="CF22" s="312"/>
      <c r="CG22" s="312"/>
      <c r="CH22" s="468">
        <f t="shared" si="13"/>
        <v>3153.1</v>
      </c>
      <c r="CI22" s="312"/>
      <c r="CJ22" s="468">
        <f t="shared" si="20"/>
        <v>9059</v>
      </c>
      <c r="CK22" s="312"/>
      <c r="CL22" s="468">
        <v>0</v>
      </c>
      <c r="CM22" s="312"/>
      <c r="CN22" s="312"/>
      <c r="CO22" s="312"/>
      <c r="CP22" s="468">
        <v>0</v>
      </c>
      <c r="CQ22" s="312"/>
      <c r="CR22" s="312"/>
      <c r="CS22" s="312"/>
      <c r="CT22" s="468">
        <v>0</v>
      </c>
      <c r="CU22" s="312"/>
      <c r="CV22" s="312"/>
      <c r="CW22" s="312"/>
      <c r="CX22" s="468">
        <f t="shared" si="14"/>
        <v>0</v>
      </c>
      <c r="CY22" s="312"/>
      <c r="CZ22" s="312"/>
      <c r="DA22" s="312"/>
      <c r="DB22" s="468">
        <v>0</v>
      </c>
      <c r="DC22" s="312"/>
      <c r="DD22" s="468">
        <v>0</v>
      </c>
      <c r="DE22" s="312"/>
      <c r="DF22" s="468">
        <f t="shared" si="15"/>
        <v>4219.32</v>
      </c>
      <c r="DG22" s="312"/>
      <c r="DH22" s="468">
        <f t="shared" si="16"/>
        <v>13072</v>
      </c>
    </row>
    <row r="23" spans="1:112" x14ac:dyDescent="0.25">
      <c r="A23" s="485"/>
      <c r="B23" s="485"/>
      <c r="C23" s="485"/>
      <c r="D23" s="485"/>
      <c r="E23" s="485" t="s">
        <v>175</v>
      </c>
      <c r="F23" s="468">
        <v>110.7</v>
      </c>
      <c r="G23" s="312"/>
      <c r="H23" s="468">
        <v>15</v>
      </c>
      <c r="I23" s="312"/>
      <c r="J23" s="468">
        <v>0</v>
      </c>
      <c r="K23" s="312"/>
      <c r="L23" s="312"/>
      <c r="M23" s="312"/>
      <c r="N23" s="468">
        <v>64.239999999999995</v>
      </c>
      <c r="O23" s="312"/>
      <c r="P23" s="468">
        <v>36</v>
      </c>
      <c r="Q23" s="312"/>
      <c r="R23" s="468">
        <f t="shared" si="8"/>
        <v>174.94</v>
      </c>
      <c r="S23" s="312"/>
      <c r="T23" s="468">
        <f t="shared" si="9"/>
        <v>51</v>
      </c>
      <c r="U23" s="312"/>
      <c r="V23" s="468">
        <v>1070.93</v>
      </c>
      <c r="W23" s="312"/>
      <c r="X23" s="468">
        <v>2809</v>
      </c>
      <c r="Y23" s="312"/>
      <c r="Z23" s="468">
        <v>2.11</v>
      </c>
      <c r="AA23" s="312"/>
      <c r="AB23" s="468">
        <v>3</v>
      </c>
      <c r="AC23" s="312"/>
      <c r="AD23" s="468">
        <v>4.8</v>
      </c>
      <c r="AE23" s="312"/>
      <c r="AF23" s="468">
        <v>6</v>
      </c>
      <c r="AG23" s="312"/>
      <c r="AH23" s="468">
        <v>0</v>
      </c>
      <c r="AI23" s="312"/>
      <c r="AJ23" s="312"/>
      <c r="AK23" s="312"/>
      <c r="AL23" s="468">
        <f t="shared" si="10"/>
        <v>6.91</v>
      </c>
      <c r="AM23" s="312"/>
      <c r="AN23" s="468">
        <f t="shared" si="17"/>
        <v>9</v>
      </c>
      <c r="AO23" s="312"/>
      <c r="AP23" s="468">
        <v>4.08</v>
      </c>
      <c r="AQ23" s="312"/>
      <c r="AR23" s="468">
        <v>6</v>
      </c>
      <c r="AS23" s="312"/>
      <c r="AT23" s="468">
        <v>11.51</v>
      </c>
      <c r="AU23" s="312"/>
      <c r="AV23" s="468">
        <v>18</v>
      </c>
      <c r="AW23" s="312"/>
      <c r="AX23" s="468">
        <v>5.64</v>
      </c>
      <c r="AY23" s="312"/>
      <c r="AZ23" s="468">
        <v>6</v>
      </c>
      <c r="BA23" s="312"/>
      <c r="BB23" s="468">
        <v>66.42</v>
      </c>
      <c r="BC23" s="312"/>
      <c r="BD23" s="468">
        <v>89</v>
      </c>
      <c r="BE23" s="312"/>
      <c r="BF23" s="468">
        <v>0</v>
      </c>
      <c r="BG23" s="312"/>
      <c r="BH23" s="312"/>
      <c r="BI23" s="312"/>
      <c r="BJ23" s="468">
        <f t="shared" si="11"/>
        <v>72.06</v>
      </c>
      <c r="BK23" s="312"/>
      <c r="BL23" s="468">
        <f t="shared" si="18"/>
        <v>95</v>
      </c>
      <c r="BM23" s="312"/>
      <c r="BN23" s="468">
        <v>386.23</v>
      </c>
      <c r="BO23" s="312"/>
      <c r="BP23" s="468">
        <v>424</v>
      </c>
      <c r="BQ23" s="312"/>
      <c r="BR23" s="468">
        <v>83.74</v>
      </c>
      <c r="BS23" s="312"/>
      <c r="BT23" s="468">
        <v>118</v>
      </c>
      <c r="BU23" s="312"/>
      <c r="BV23" s="468">
        <v>70.52</v>
      </c>
      <c r="BW23" s="312"/>
      <c r="BX23" s="468">
        <v>239</v>
      </c>
      <c r="BY23" s="312"/>
      <c r="BZ23" s="468">
        <f t="shared" si="12"/>
        <v>540.49</v>
      </c>
      <c r="CA23" s="312"/>
      <c r="CB23" s="468">
        <f t="shared" si="19"/>
        <v>781</v>
      </c>
      <c r="CC23" s="312"/>
      <c r="CD23" s="468">
        <v>0</v>
      </c>
      <c r="CE23" s="312"/>
      <c r="CF23" s="312"/>
      <c r="CG23" s="312"/>
      <c r="CH23" s="468">
        <f t="shared" si="13"/>
        <v>635.04999999999995</v>
      </c>
      <c r="CI23" s="312"/>
      <c r="CJ23" s="468">
        <f t="shared" si="20"/>
        <v>909</v>
      </c>
      <c r="CK23" s="312"/>
      <c r="CL23" s="468">
        <v>0</v>
      </c>
      <c r="CM23" s="312"/>
      <c r="CN23" s="312"/>
      <c r="CO23" s="312"/>
      <c r="CP23" s="468">
        <v>0</v>
      </c>
      <c r="CQ23" s="312"/>
      <c r="CR23" s="312"/>
      <c r="CS23" s="312"/>
      <c r="CT23" s="468">
        <v>0</v>
      </c>
      <c r="CU23" s="312"/>
      <c r="CV23" s="312"/>
      <c r="CW23" s="312"/>
      <c r="CX23" s="468">
        <f t="shared" si="14"/>
        <v>0</v>
      </c>
      <c r="CY23" s="312"/>
      <c r="CZ23" s="312"/>
      <c r="DA23" s="312"/>
      <c r="DB23" s="468">
        <v>0</v>
      </c>
      <c r="DC23" s="312"/>
      <c r="DD23" s="468">
        <v>0</v>
      </c>
      <c r="DE23" s="312"/>
      <c r="DF23" s="468">
        <f t="shared" si="15"/>
        <v>1880.92</v>
      </c>
      <c r="DG23" s="312"/>
      <c r="DH23" s="468">
        <f t="shared" si="16"/>
        <v>3769</v>
      </c>
    </row>
    <row r="24" spans="1:112" x14ac:dyDescent="0.25">
      <c r="A24" s="485"/>
      <c r="B24" s="485"/>
      <c r="C24" s="485"/>
      <c r="D24" s="485"/>
      <c r="E24" s="485" t="s">
        <v>176</v>
      </c>
      <c r="F24" s="468">
        <v>452.17</v>
      </c>
      <c r="G24" s="312"/>
      <c r="H24" s="468">
        <v>522</v>
      </c>
      <c r="I24" s="312"/>
      <c r="J24" s="468">
        <v>0</v>
      </c>
      <c r="K24" s="312"/>
      <c r="L24" s="312"/>
      <c r="M24" s="312"/>
      <c r="N24" s="468">
        <v>1992.94</v>
      </c>
      <c r="O24" s="312"/>
      <c r="P24" s="468">
        <v>2109</v>
      </c>
      <c r="Q24" s="312"/>
      <c r="R24" s="468">
        <f t="shared" si="8"/>
        <v>2445.11</v>
      </c>
      <c r="S24" s="312"/>
      <c r="T24" s="468">
        <f t="shared" si="9"/>
        <v>2631</v>
      </c>
      <c r="U24" s="312"/>
      <c r="V24" s="468">
        <v>2012.46</v>
      </c>
      <c r="W24" s="312"/>
      <c r="X24" s="468">
        <v>1841</v>
      </c>
      <c r="Y24" s="312"/>
      <c r="Z24" s="468">
        <v>90.84</v>
      </c>
      <c r="AA24" s="312"/>
      <c r="AB24" s="468">
        <v>98</v>
      </c>
      <c r="AC24" s="312"/>
      <c r="AD24" s="468">
        <v>199.21</v>
      </c>
      <c r="AE24" s="312"/>
      <c r="AF24" s="468">
        <v>229</v>
      </c>
      <c r="AG24" s="312"/>
      <c r="AH24" s="468">
        <v>0</v>
      </c>
      <c r="AI24" s="312"/>
      <c r="AJ24" s="312"/>
      <c r="AK24" s="312"/>
      <c r="AL24" s="468">
        <f t="shared" si="10"/>
        <v>290.05</v>
      </c>
      <c r="AM24" s="312"/>
      <c r="AN24" s="468">
        <f t="shared" si="17"/>
        <v>327</v>
      </c>
      <c r="AO24" s="312"/>
      <c r="AP24" s="468">
        <v>148.43</v>
      </c>
      <c r="AQ24" s="312"/>
      <c r="AR24" s="468">
        <v>195</v>
      </c>
      <c r="AS24" s="312"/>
      <c r="AT24" s="468">
        <v>411.69</v>
      </c>
      <c r="AU24" s="312"/>
      <c r="AV24" s="468">
        <v>558</v>
      </c>
      <c r="AW24" s="312"/>
      <c r="AX24" s="468">
        <v>214.98</v>
      </c>
      <c r="AY24" s="312"/>
      <c r="AZ24" s="468">
        <v>177</v>
      </c>
      <c r="BA24" s="312"/>
      <c r="BB24" s="468">
        <v>2687.14</v>
      </c>
      <c r="BC24" s="312"/>
      <c r="BD24" s="468">
        <v>2735</v>
      </c>
      <c r="BE24" s="312"/>
      <c r="BF24" s="468">
        <v>0</v>
      </c>
      <c r="BG24" s="312"/>
      <c r="BH24" s="312"/>
      <c r="BI24" s="312"/>
      <c r="BJ24" s="468">
        <f t="shared" si="11"/>
        <v>2902.12</v>
      </c>
      <c r="BK24" s="312"/>
      <c r="BL24" s="468">
        <f t="shared" si="18"/>
        <v>2912</v>
      </c>
      <c r="BM24" s="312"/>
      <c r="BN24" s="468">
        <v>594.84</v>
      </c>
      <c r="BO24" s="312"/>
      <c r="BP24" s="468">
        <v>848</v>
      </c>
      <c r="BQ24" s="312"/>
      <c r="BR24" s="468">
        <v>2746.3</v>
      </c>
      <c r="BS24" s="312"/>
      <c r="BT24" s="468">
        <v>2736</v>
      </c>
      <c r="BU24" s="312"/>
      <c r="BV24" s="468">
        <v>1867.91</v>
      </c>
      <c r="BW24" s="312"/>
      <c r="BX24" s="468">
        <v>2261</v>
      </c>
      <c r="BY24" s="312"/>
      <c r="BZ24" s="468">
        <f t="shared" si="12"/>
        <v>5209.05</v>
      </c>
      <c r="CA24" s="312"/>
      <c r="CB24" s="468">
        <f t="shared" si="19"/>
        <v>5845</v>
      </c>
      <c r="CC24" s="312"/>
      <c r="CD24" s="468">
        <v>0</v>
      </c>
      <c r="CE24" s="312"/>
      <c r="CF24" s="312"/>
      <c r="CG24" s="312"/>
      <c r="CH24" s="468">
        <f t="shared" si="13"/>
        <v>8961.34</v>
      </c>
      <c r="CI24" s="312"/>
      <c r="CJ24" s="468">
        <f t="shared" si="20"/>
        <v>9837</v>
      </c>
      <c r="CK24" s="312"/>
      <c r="CL24" s="468">
        <v>0</v>
      </c>
      <c r="CM24" s="312"/>
      <c r="CN24" s="312"/>
      <c r="CO24" s="312"/>
      <c r="CP24" s="468">
        <v>0</v>
      </c>
      <c r="CQ24" s="312"/>
      <c r="CR24" s="312"/>
      <c r="CS24" s="312"/>
      <c r="CT24" s="468">
        <v>0</v>
      </c>
      <c r="CU24" s="312"/>
      <c r="CV24" s="312"/>
      <c r="CW24" s="312"/>
      <c r="CX24" s="468">
        <f t="shared" si="14"/>
        <v>0</v>
      </c>
      <c r="CY24" s="312"/>
      <c r="CZ24" s="312"/>
      <c r="DA24" s="312"/>
      <c r="DB24" s="468">
        <v>0</v>
      </c>
      <c r="DC24" s="312"/>
      <c r="DD24" s="468">
        <v>0</v>
      </c>
      <c r="DE24" s="312"/>
      <c r="DF24" s="468">
        <f t="shared" si="15"/>
        <v>13418.91</v>
      </c>
      <c r="DG24" s="312"/>
      <c r="DH24" s="468">
        <f t="shared" si="16"/>
        <v>14309</v>
      </c>
    </row>
    <row r="25" spans="1:112" x14ac:dyDescent="0.25">
      <c r="A25" s="485"/>
      <c r="B25" s="485"/>
      <c r="C25" s="485"/>
      <c r="D25" s="485"/>
      <c r="E25" s="485" t="s">
        <v>177</v>
      </c>
      <c r="F25" s="468">
        <v>73.900000000000006</v>
      </c>
      <c r="G25" s="312"/>
      <c r="H25" s="468">
        <v>91</v>
      </c>
      <c r="I25" s="312"/>
      <c r="J25" s="468">
        <v>0</v>
      </c>
      <c r="K25" s="312"/>
      <c r="L25" s="312"/>
      <c r="M25" s="312"/>
      <c r="N25" s="468">
        <v>226.63</v>
      </c>
      <c r="O25" s="312"/>
      <c r="P25" s="468">
        <v>218</v>
      </c>
      <c r="Q25" s="312"/>
      <c r="R25" s="468">
        <f t="shared" si="8"/>
        <v>300.52999999999997</v>
      </c>
      <c r="S25" s="312"/>
      <c r="T25" s="468">
        <f t="shared" si="9"/>
        <v>309</v>
      </c>
      <c r="U25" s="312"/>
      <c r="V25" s="468">
        <v>353</v>
      </c>
      <c r="W25" s="312"/>
      <c r="X25" s="468">
        <v>363</v>
      </c>
      <c r="Y25" s="312"/>
      <c r="Z25" s="468">
        <v>15.9</v>
      </c>
      <c r="AA25" s="312"/>
      <c r="AB25" s="468">
        <v>18</v>
      </c>
      <c r="AC25" s="312"/>
      <c r="AD25" s="468">
        <v>30.48</v>
      </c>
      <c r="AE25" s="312"/>
      <c r="AF25" s="468">
        <v>36</v>
      </c>
      <c r="AG25" s="312"/>
      <c r="AH25" s="468">
        <v>0</v>
      </c>
      <c r="AI25" s="312"/>
      <c r="AJ25" s="312"/>
      <c r="AK25" s="312"/>
      <c r="AL25" s="468">
        <f t="shared" si="10"/>
        <v>46.38</v>
      </c>
      <c r="AM25" s="312"/>
      <c r="AN25" s="468">
        <f t="shared" si="17"/>
        <v>54</v>
      </c>
      <c r="AO25" s="312"/>
      <c r="AP25" s="468">
        <v>26.28</v>
      </c>
      <c r="AQ25" s="312"/>
      <c r="AR25" s="468">
        <v>36</v>
      </c>
      <c r="AS25" s="312"/>
      <c r="AT25" s="468">
        <v>74.67</v>
      </c>
      <c r="AU25" s="312"/>
      <c r="AV25" s="468">
        <v>109</v>
      </c>
      <c r="AW25" s="312"/>
      <c r="AX25" s="468">
        <v>40.07</v>
      </c>
      <c r="AY25" s="312"/>
      <c r="AZ25" s="468">
        <v>36</v>
      </c>
      <c r="BA25" s="312"/>
      <c r="BB25" s="468">
        <v>498.49</v>
      </c>
      <c r="BC25" s="312"/>
      <c r="BD25" s="468">
        <v>545</v>
      </c>
      <c r="BE25" s="312"/>
      <c r="BF25" s="468">
        <v>0</v>
      </c>
      <c r="BG25" s="312"/>
      <c r="BH25" s="312"/>
      <c r="BI25" s="312"/>
      <c r="BJ25" s="468">
        <f t="shared" si="11"/>
        <v>538.55999999999995</v>
      </c>
      <c r="BK25" s="312"/>
      <c r="BL25" s="468">
        <f t="shared" si="18"/>
        <v>581</v>
      </c>
      <c r="BM25" s="312"/>
      <c r="BN25" s="468">
        <v>99.34</v>
      </c>
      <c r="BO25" s="312"/>
      <c r="BP25" s="468">
        <v>145</v>
      </c>
      <c r="BQ25" s="312"/>
      <c r="BR25" s="468">
        <v>634.66</v>
      </c>
      <c r="BS25" s="312"/>
      <c r="BT25" s="468">
        <v>726</v>
      </c>
      <c r="BU25" s="312"/>
      <c r="BV25" s="468">
        <v>722.21</v>
      </c>
      <c r="BW25" s="312"/>
      <c r="BX25" s="468">
        <v>545</v>
      </c>
      <c r="BY25" s="312"/>
      <c r="BZ25" s="468">
        <f t="shared" si="12"/>
        <v>1456.21</v>
      </c>
      <c r="CA25" s="312"/>
      <c r="CB25" s="468">
        <f t="shared" si="19"/>
        <v>1416</v>
      </c>
      <c r="CC25" s="312"/>
      <c r="CD25" s="468">
        <v>0</v>
      </c>
      <c r="CE25" s="312"/>
      <c r="CF25" s="312"/>
      <c r="CG25" s="312"/>
      <c r="CH25" s="468">
        <f t="shared" si="13"/>
        <v>2142.1</v>
      </c>
      <c r="CI25" s="312"/>
      <c r="CJ25" s="468">
        <f t="shared" si="20"/>
        <v>2196</v>
      </c>
      <c r="CK25" s="312"/>
      <c r="CL25" s="468">
        <v>0</v>
      </c>
      <c r="CM25" s="312"/>
      <c r="CN25" s="312"/>
      <c r="CO25" s="312"/>
      <c r="CP25" s="468">
        <v>0</v>
      </c>
      <c r="CQ25" s="312"/>
      <c r="CR25" s="312"/>
      <c r="CS25" s="312"/>
      <c r="CT25" s="468">
        <v>0</v>
      </c>
      <c r="CU25" s="312"/>
      <c r="CV25" s="312"/>
      <c r="CW25" s="312"/>
      <c r="CX25" s="468">
        <f t="shared" si="14"/>
        <v>0</v>
      </c>
      <c r="CY25" s="312"/>
      <c r="CZ25" s="312"/>
      <c r="DA25" s="312"/>
      <c r="DB25" s="468">
        <v>0</v>
      </c>
      <c r="DC25" s="312"/>
      <c r="DD25" s="468">
        <v>0</v>
      </c>
      <c r="DE25" s="312"/>
      <c r="DF25" s="468">
        <f t="shared" si="15"/>
        <v>2795.63</v>
      </c>
      <c r="DG25" s="312"/>
      <c r="DH25" s="468">
        <f t="shared" si="16"/>
        <v>2868</v>
      </c>
    </row>
    <row r="26" spans="1:112" x14ac:dyDescent="0.25">
      <c r="A26" s="485"/>
      <c r="B26" s="485"/>
      <c r="C26" s="485"/>
      <c r="D26" s="485"/>
      <c r="E26" s="485" t="s">
        <v>178</v>
      </c>
      <c r="F26" s="468">
        <v>20.98</v>
      </c>
      <c r="G26" s="312"/>
      <c r="H26" s="468">
        <v>26</v>
      </c>
      <c r="I26" s="312"/>
      <c r="J26" s="468">
        <v>0</v>
      </c>
      <c r="K26" s="312"/>
      <c r="L26" s="312"/>
      <c r="M26" s="312"/>
      <c r="N26" s="468">
        <v>74.19</v>
      </c>
      <c r="O26" s="312"/>
      <c r="P26" s="468">
        <v>63</v>
      </c>
      <c r="Q26" s="312"/>
      <c r="R26" s="468">
        <f t="shared" si="8"/>
        <v>95.17</v>
      </c>
      <c r="S26" s="312"/>
      <c r="T26" s="468">
        <f t="shared" si="9"/>
        <v>89</v>
      </c>
      <c r="U26" s="312"/>
      <c r="V26" s="468">
        <v>10416.66</v>
      </c>
      <c r="W26" s="312"/>
      <c r="X26" s="468">
        <v>7985</v>
      </c>
      <c r="Y26" s="312"/>
      <c r="Z26" s="468">
        <v>4.76</v>
      </c>
      <c r="AA26" s="312"/>
      <c r="AB26" s="468">
        <v>5</v>
      </c>
      <c r="AC26" s="312"/>
      <c r="AD26" s="468">
        <v>7.31</v>
      </c>
      <c r="AE26" s="312"/>
      <c r="AF26" s="468">
        <v>11</v>
      </c>
      <c r="AG26" s="312"/>
      <c r="AH26" s="468">
        <v>0</v>
      </c>
      <c r="AI26" s="312"/>
      <c r="AJ26" s="312"/>
      <c r="AK26" s="312"/>
      <c r="AL26" s="468">
        <f t="shared" si="10"/>
        <v>12.07</v>
      </c>
      <c r="AM26" s="312"/>
      <c r="AN26" s="468">
        <f t="shared" si="17"/>
        <v>16</v>
      </c>
      <c r="AO26" s="312"/>
      <c r="AP26" s="468">
        <v>6.69</v>
      </c>
      <c r="AQ26" s="312"/>
      <c r="AR26" s="468">
        <v>11</v>
      </c>
      <c r="AS26" s="312"/>
      <c r="AT26" s="468">
        <v>19.46</v>
      </c>
      <c r="AU26" s="312"/>
      <c r="AV26" s="468">
        <v>32</v>
      </c>
      <c r="AW26" s="312"/>
      <c r="AX26" s="468">
        <v>10.77</v>
      </c>
      <c r="AY26" s="312"/>
      <c r="AZ26" s="468">
        <v>11</v>
      </c>
      <c r="BA26" s="312"/>
      <c r="BB26" s="468">
        <v>146.97</v>
      </c>
      <c r="BC26" s="312"/>
      <c r="BD26" s="468">
        <v>158</v>
      </c>
      <c r="BE26" s="312"/>
      <c r="BF26" s="468">
        <v>0</v>
      </c>
      <c r="BG26" s="312"/>
      <c r="BH26" s="312"/>
      <c r="BI26" s="312"/>
      <c r="BJ26" s="468">
        <f t="shared" si="11"/>
        <v>157.74</v>
      </c>
      <c r="BK26" s="312"/>
      <c r="BL26" s="468">
        <f t="shared" si="18"/>
        <v>169</v>
      </c>
      <c r="BM26" s="312"/>
      <c r="BN26" s="468">
        <v>33.06</v>
      </c>
      <c r="BO26" s="312"/>
      <c r="BP26" s="468">
        <v>42</v>
      </c>
      <c r="BQ26" s="312"/>
      <c r="BR26" s="468">
        <v>190.67</v>
      </c>
      <c r="BS26" s="312"/>
      <c r="BT26" s="468">
        <v>211</v>
      </c>
      <c r="BU26" s="312"/>
      <c r="BV26" s="468">
        <v>162.02000000000001</v>
      </c>
      <c r="BW26" s="312"/>
      <c r="BX26" s="468">
        <v>158</v>
      </c>
      <c r="BY26" s="312"/>
      <c r="BZ26" s="468">
        <f t="shared" si="12"/>
        <v>385.75</v>
      </c>
      <c r="CA26" s="312"/>
      <c r="CB26" s="468">
        <f t="shared" si="19"/>
        <v>411</v>
      </c>
      <c r="CC26" s="312"/>
      <c r="CD26" s="468">
        <v>0</v>
      </c>
      <c r="CE26" s="312"/>
      <c r="CF26" s="312"/>
      <c r="CG26" s="312"/>
      <c r="CH26" s="468">
        <f t="shared" si="13"/>
        <v>581.71</v>
      </c>
      <c r="CI26" s="312"/>
      <c r="CJ26" s="468">
        <f t="shared" si="20"/>
        <v>639</v>
      </c>
      <c r="CK26" s="312"/>
      <c r="CL26" s="468">
        <v>0</v>
      </c>
      <c r="CM26" s="312"/>
      <c r="CN26" s="312"/>
      <c r="CO26" s="312"/>
      <c r="CP26" s="468">
        <v>0</v>
      </c>
      <c r="CQ26" s="312"/>
      <c r="CR26" s="312"/>
      <c r="CS26" s="312"/>
      <c r="CT26" s="468">
        <v>0</v>
      </c>
      <c r="CU26" s="312"/>
      <c r="CV26" s="312"/>
      <c r="CW26" s="312"/>
      <c r="CX26" s="468">
        <f t="shared" si="14"/>
        <v>0</v>
      </c>
      <c r="CY26" s="312"/>
      <c r="CZ26" s="312"/>
      <c r="DA26" s="312"/>
      <c r="DB26" s="468">
        <v>0</v>
      </c>
      <c r="DC26" s="312"/>
      <c r="DD26" s="468">
        <v>0</v>
      </c>
      <c r="DE26" s="312"/>
      <c r="DF26" s="468">
        <f t="shared" si="15"/>
        <v>11093.54</v>
      </c>
      <c r="DG26" s="312"/>
      <c r="DH26" s="468">
        <f t="shared" si="16"/>
        <v>8713</v>
      </c>
    </row>
    <row r="27" spans="1:112" x14ac:dyDescent="0.25">
      <c r="A27" s="485"/>
      <c r="B27" s="485"/>
      <c r="C27" s="485"/>
      <c r="D27" s="485"/>
      <c r="E27" s="485" t="s">
        <v>179</v>
      </c>
      <c r="F27" s="468">
        <v>7698.75</v>
      </c>
      <c r="G27" s="312"/>
      <c r="H27" s="468">
        <v>15008</v>
      </c>
      <c r="I27" s="312"/>
      <c r="J27" s="468">
        <v>0</v>
      </c>
      <c r="K27" s="312"/>
      <c r="L27" s="312"/>
      <c r="M27" s="312"/>
      <c r="N27" s="468">
        <v>2275.7600000000002</v>
      </c>
      <c r="O27" s="312"/>
      <c r="P27" s="468">
        <v>2020</v>
      </c>
      <c r="Q27" s="312"/>
      <c r="R27" s="468">
        <f t="shared" si="8"/>
        <v>9974.51</v>
      </c>
      <c r="S27" s="312"/>
      <c r="T27" s="468">
        <f t="shared" si="9"/>
        <v>17028</v>
      </c>
      <c r="U27" s="312"/>
      <c r="V27" s="468">
        <v>1424.5</v>
      </c>
      <c r="W27" s="312"/>
      <c r="X27" s="468">
        <v>533</v>
      </c>
      <c r="Y27" s="312"/>
      <c r="Z27" s="468">
        <v>621.25</v>
      </c>
      <c r="AA27" s="312"/>
      <c r="AB27" s="468">
        <v>1502</v>
      </c>
      <c r="AC27" s="312"/>
      <c r="AD27" s="468">
        <v>297.64999999999998</v>
      </c>
      <c r="AE27" s="312"/>
      <c r="AF27" s="468">
        <v>4003</v>
      </c>
      <c r="AG27" s="312"/>
      <c r="AH27" s="468">
        <v>0</v>
      </c>
      <c r="AI27" s="312"/>
      <c r="AJ27" s="312"/>
      <c r="AK27" s="312"/>
      <c r="AL27" s="468">
        <f t="shared" si="10"/>
        <v>918.9</v>
      </c>
      <c r="AM27" s="312"/>
      <c r="AN27" s="468">
        <f t="shared" si="17"/>
        <v>5505</v>
      </c>
      <c r="AO27" s="312"/>
      <c r="AP27" s="468">
        <v>0</v>
      </c>
      <c r="AQ27" s="312"/>
      <c r="AR27" s="468">
        <v>3</v>
      </c>
      <c r="AS27" s="312"/>
      <c r="AT27" s="468">
        <v>1444.95</v>
      </c>
      <c r="AU27" s="312"/>
      <c r="AV27" s="468">
        <v>10</v>
      </c>
      <c r="AW27" s="312"/>
      <c r="AX27" s="468">
        <v>0</v>
      </c>
      <c r="AY27" s="312"/>
      <c r="AZ27" s="468">
        <v>3</v>
      </c>
      <c r="BA27" s="312"/>
      <c r="BB27" s="468">
        <v>2.4700000000000002</v>
      </c>
      <c r="BC27" s="312"/>
      <c r="BD27" s="468">
        <v>549</v>
      </c>
      <c r="BE27" s="312"/>
      <c r="BF27" s="468">
        <v>0</v>
      </c>
      <c r="BG27" s="312"/>
      <c r="BH27" s="312"/>
      <c r="BI27" s="312"/>
      <c r="BJ27" s="468">
        <f t="shared" si="11"/>
        <v>2.4700000000000002</v>
      </c>
      <c r="BK27" s="312"/>
      <c r="BL27" s="468">
        <f t="shared" si="18"/>
        <v>552</v>
      </c>
      <c r="BM27" s="312"/>
      <c r="BN27" s="468">
        <v>1175.1400000000001</v>
      </c>
      <c r="BO27" s="312"/>
      <c r="BP27" s="468">
        <v>1013</v>
      </c>
      <c r="BQ27" s="312"/>
      <c r="BR27" s="468">
        <v>125.49</v>
      </c>
      <c r="BS27" s="312"/>
      <c r="BT27" s="468">
        <v>66</v>
      </c>
      <c r="BU27" s="312"/>
      <c r="BV27" s="468">
        <v>1924.46</v>
      </c>
      <c r="BW27" s="312"/>
      <c r="BX27" s="468">
        <v>4049</v>
      </c>
      <c r="BY27" s="312"/>
      <c r="BZ27" s="468">
        <f t="shared" si="12"/>
        <v>3225.09</v>
      </c>
      <c r="CA27" s="312"/>
      <c r="CB27" s="468">
        <f t="shared" si="19"/>
        <v>5128</v>
      </c>
      <c r="CC27" s="312"/>
      <c r="CD27" s="468">
        <v>0</v>
      </c>
      <c r="CE27" s="312"/>
      <c r="CF27" s="312"/>
      <c r="CG27" s="312"/>
      <c r="CH27" s="468">
        <f t="shared" si="13"/>
        <v>5591.41</v>
      </c>
      <c r="CI27" s="312"/>
      <c r="CJ27" s="468">
        <f t="shared" si="20"/>
        <v>11198</v>
      </c>
      <c r="CK27" s="312"/>
      <c r="CL27" s="468">
        <v>0</v>
      </c>
      <c r="CM27" s="312"/>
      <c r="CN27" s="312"/>
      <c r="CO27" s="312"/>
      <c r="CP27" s="468">
        <v>0.09</v>
      </c>
      <c r="CQ27" s="312"/>
      <c r="CR27" s="312"/>
      <c r="CS27" s="312"/>
      <c r="CT27" s="468">
        <v>0</v>
      </c>
      <c r="CU27" s="312"/>
      <c r="CV27" s="312"/>
      <c r="CW27" s="312"/>
      <c r="CX27" s="468">
        <f t="shared" si="14"/>
        <v>0.09</v>
      </c>
      <c r="CY27" s="312"/>
      <c r="CZ27" s="312"/>
      <c r="DA27" s="312"/>
      <c r="DB27" s="468">
        <v>0</v>
      </c>
      <c r="DC27" s="312"/>
      <c r="DD27" s="468">
        <v>0</v>
      </c>
      <c r="DE27" s="312"/>
      <c r="DF27" s="468">
        <f t="shared" si="15"/>
        <v>16990.509999999998</v>
      </c>
      <c r="DG27" s="312"/>
      <c r="DH27" s="468">
        <f t="shared" si="16"/>
        <v>28759</v>
      </c>
    </row>
    <row r="28" spans="1:112" x14ac:dyDescent="0.25">
      <c r="A28" s="485"/>
      <c r="B28" s="485"/>
      <c r="C28" s="485"/>
      <c r="D28" s="485"/>
      <c r="E28" s="485" t="s">
        <v>180</v>
      </c>
      <c r="F28" s="468">
        <v>6.38</v>
      </c>
      <c r="G28" s="312"/>
      <c r="H28" s="468"/>
      <c r="I28" s="312"/>
      <c r="J28" s="468">
        <v>0</v>
      </c>
      <c r="K28" s="312"/>
      <c r="L28" s="312"/>
      <c r="M28" s="312"/>
      <c r="N28" s="468">
        <v>15.32</v>
      </c>
      <c r="O28" s="312"/>
      <c r="P28" s="468"/>
      <c r="Q28" s="312"/>
      <c r="R28" s="468">
        <f t="shared" si="8"/>
        <v>21.7</v>
      </c>
      <c r="S28" s="312"/>
      <c r="T28" s="468"/>
      <c r="U28" s="312"/>
      <c r="V28" s="468">
        <v>523.83000000000004</v>
      </c>
      <c r="W28" s="312"/>
      <c r="X28" s="468">
        <v>1258</v>
      </c>
      <c r="Y28" s="312"/>
      <c r="Z28" s="468">
        <v>1.28</v>
      </c>
      <c r="AA28" s="312"/>
      <c r="AB28" s="468"/>
      <c r="AC28" s="312"/>
      <c r="AD28" s="468">
        <v>2.5499999999999998</v>
      </c>
      <c r="AE28" s="312"/>
      <c r="AF28" s="468"/>
      <c r="AG28" s="312"/>
      <c r="AH28" s="468">
        <v>0</v>
      </c>
      <c r="AI28" s="312"/>
      <c r="AJ28" s="312"/>
      <c r="AK28" s="312"/>
      <c r="AL28" s="468">
        <f t="shared" si="10"/>
        <v>3.83</v>
      </c>
      <c r="AM28" s="312"/>
      <c r="AN28" s="468"/>
      <c r="AO28" s="312"/>
      <c r="AP28" s="468">
        <v>2.5499999999999998</v>
      </c>
      <c r="AQ28" s="312"/>
      <c r="AR28" s="468"/>
      <c r="AS28" s="312"/>
      <c r="AT28" s="468">
        <v>7.66</v>
      </c>
      <c r="AU28" s="312"/>
      <c r="AV28" s="468"/>
      <c r="AW28" s="312"/>
      <c r="AX28" s="468">
        <v>2.5499999999999998</v>
      </c>
      <c r="AY28" s="312"/>
      <c r="AZ28" s="468"/>
      <c r="BA28" s="312"/>
      <c r="BB28" s="468">
        <v>38.29</v>
      </c>
      <c r="BC28" s="312"/>
      <c r="BD28" s="468">
        <v>5000</v>
      </c>
      <c r="BE28" s="312"/>
      <c r="BF28" s="468">
        <v>0</v>
      </c>
      <c r="BG28" s="312"/>
      <c r="BH28" s="312"/>
      <c r="BI28" s="312"/>
      <c r="BJ28" s="468">
        <f t="shared" si="11"/>
        <v>40.840000000000003</v>
      </c>
      <c r="BK28" s="312"/>
      <c r="BL28" s="468">
        <f t="shared" si="18"/>
        <v>5000</v>
      </c>
      <c r="BM28" s="312"/>
      <c r="BN28" s="468">
        <v>10.210000000000001</v>
      </c>
      <c r="BO28" s="312"/>
      <c r="BP28" s="468"/>
      <c r="BQ28" s="312"/>
      <c r="BR28" s="468">
        <v>51.05</v>
      </c>
      <c r="BS28" s="312"/>
      <c r="BT28" s="468"/>
      <c r="BU28" s="312"/>
      <c r="BV28" s="468">
        <v>38.29</v>
      </c>
      <c r="BW28" s="312"/>
      <c r="BX28" s="468"/>
      <c r="BY28" s="312"/>
      <c r="BZ28" s="468">
        <f t="shared" si="12"/>
        <v>99.55</v>
      </c>
      <c r="CA28" s="312"/>
      <c r="CB28" s="468"/>
      <c r="CC28" s="312"/>
      <c r="CD28" s="468">
        <v>0</v>
      </c>
      <c r="CE28" s="312"/>
      <c r="CF28" s="312"/>
      <c r="CG28" s="312"/>
      <c r="CH28" s="468">
        <f t="shared" si="13"/>
        <v>154.43</v>
      </c>
      <c r="CI28" s="312"/>
      <c r="CJ28" s="468">
        <f t="shared" si="20"/>
        <v>5000</v>
      </c>
      <c r="CK28" s="312"/>
      <c r="CL28" s="468">
        <v>0</v>
      </c>
      <c r="CM28" s="312"/>
      <c r="CN28" s="312"/>
      <c r="CO28" s="312"/>
      <c r="CP28" s="468">
        <v>0</v>
      </c>
      <c r="CQ28" s="312"/>
      <c r="CR28" s="312"/>
      <c r="CS28" s="312"/>
      <c r="CT28" s="468">
        <v>0</v>
      </c>
      <c r="CU28" s="312"/>
      <c r="CV28" s="312"/>
      <c r="CW28" s="312"/>
      <c r="CX28" s="468">
        <f t="shared" si="14"/>
        <v>0</v>
      </c>
      <c r="CY28" s="312"/>
      <c r="CZ28" s="312"/>
      <c r="DA28" s="312"/>
      <c r="DB28" s="468">
        <v>0</v>
      </c>
      <c r="DC28" s="312"/>
      <c r="DD28" s="468">
        <v>0</v>
      </c>
      <c r="DE28" s="312"/>
      <c r="DF28" s="468">
        <f t="shared" si="15"/>
        <v>699.96</v>
      </c>
      <c r="DG28" s="312"/>
      <c r="DH28" s="468">
        <f t="shared" si="16"/>
        <v>6258</v>
      </c>
    </row>
    <row r="29" spans="1:112" x14ac:dyDescent="0.25">
      <c r="A29" s="485"/>
      <c r="B29" s="485"/>
      <c r="C29" s="485"/>
      <c r="D29" s="485"/>
      <c r="E29" s="485" t="s">
        <v>181</v>
      </c>
      <c r="F29" s="468">
        <v>1058.92</v>
      </c>
      <c r="G29" s="312"/>
      <c r="H29" s="468">
        <v>1708</v>
      </c>
      <c r="I29" s="312"/>
      <c r="J29" s="468">
        <v>0</v>
      </c>
      <c r="K29" s="312"/>
      <c r="L29" s="312"/>
      <c r="M29" s="312"/>
      <c r="N29" s="468">
        <v>7945.26</v>
      </c>
      <c r="O29" s="312"/>
      <c r="P29" s="468">
        <v>6726</v>
      </c>
      <c r="Q29" s="312"/>
      <c r="R29" s="468">
        <f t="shared" si="8"/>
        <v>9004.18</v>
      </c>
      <c r="S29" s="312"/>
      <c r="T29" s="468">
        <f>ROUND(H29+L29+P29,5)</f>
        <v>8434</v>
      </c>
      <c r="U29" s="312"/>
      <c r="V29" s="468">
        <v>231.25</v>
      </c>
      <c r="W29" s="312"/>
      <c r="X29" s="468">
        <v>342</v>
      </c>
      <c r="Y29" s="312"/>
      <c r="Z29" s="468">
        <v>11.88</v>
      </c>
      <c r="AA29" s="312"/>
      <c r="AB29" s="468">
        <v>2</v>
      </c>
      <c r="AC29" s="312"/>
      <c r="AD29" s="468">
        <v>30.86</v>
      </c>
      <c r="AE29" s="312"/>
      <c r="AF29" s="468">
        <v>4</v>
      </c>
      <c r="AG29" s="312"/>
      <c r="AH29" s="468">
        <v>0</v>
      </c>
      <c r="AI29" s="312"/>
      <c r="AJ29" s="312"/>
      <c r="AK29" s="312"/>
      <c r="AL29" s="468">
        <f t="shared" si="10"/>
        <v>42.74</v>
      </c>
      <c r="AM29" s="312"/>
      <c r="AN29" s="468">
        <f>ROUND(AB29+AF29+AJ29,5)</f>
        <v>6</v>
      </c>
      <c r="AO29" s="312"/>
      <c r="AP29" s="468">
        <v>51.08</v>
      </c>
      <c r="AQ29" s="312"/>
      <c r="AR29" s="468">
        <v>60</v>
      </c>
      <c r="AS29" s="312"/>
      <c r="AT29" s="468">
        <v>78.69</v>
      </c>
      <c r="AU29" s="312"/>
      <c r="AV29" s="468">
        <v>294</v>
      </c>
      <c r="AW29" s="312"/>
      <c r="AX29" s="468">
        <v>28.91</v>
      </c>
      <c r="AY29" s="312"/>
      <c r="AZ29" s="468">
        <v>79</v>
      </c>
      <c r="BA29" s="312"/>
      <c r="BB29" s="468">
        <v>324.45</v>
      </c>
      <c r="BC29" s="312"/>
      <c r="BD29" s="468">
        <v>457</v>
      </c>
      <c r="BE29" s="312"/>
      <c r="BF29" s="468">
        <v>0</v>
      </c>
      <c r="BG29" s="312"/>
      <c r="BH29" s="312"/>
      <c r="BI29" s="312"/>
      <c r="BJ29" s="468">
        <f t="shared" si="11"/>
        <v>353.36</v>
      </c>
      <c r="BK29" s="312"/>
      <c r="BL29" s="468">
        <f t="shared" si="18"/>
        <v>536</v>
      </c>
      <c r="BM29" s="312"/>
      <c r="BN29" s="468">
        <v>24.43</v>
      </c>
      <c r="BO29" s="312"/>
      <c r="BP29" s="468">
        <v>17</v>
      </c>
      <c r="BQ29" s="312"/>
      <c r="BR29" s="468">
        <v>149.80000000000001</v>
      </c>
      <c r="BS29" s="312"/>
      <c r="BT29" s="468">
        <v>83</v>
      </c>
      <c r="BU29" s="312"/>
      <c r="BV29" s="468">
        <v>543.86</v>
      </c>
      <c r="BW29" s="312"/>
      <c r="BX29" s="468">
        <v>720</v>
      </c>
      <c r="BY29" s="312"/>
      <c r="BZ29" s="468">
        <f t="shared" si="12"/>
        <v>718.09</v>
      </c>
      <c r="CA29" s="312"/>
      <c r="CB29" s="468">
        <f>ROUND(BP29+BT29+BX29,5)</f>
        <v>820</v>
      </c>
      <c r="CC29" s="312"/>
      <c r="CD29" s="468">
        <v>0</v>
      </c>
      <c r="CE29" s="312"/>
      <c r="CF29" s="312"/>
      <c r="CG29" s="312"/>
      <c r="CH29" s="468">
        <f t="shared" si="13"/>
        <v>1243.96</v>
      </c>
      <c r="CI29" s="312"/>
      <c r="CJ29" s="468">
        <f t="shared" si="20"/>
        <v>1716</v>
      </c>
      <c r="CK29" s="312"/>
      <c r="CL29" s="468">
        <v>0</v>
      </c>
      <c r="CM29" s="312"/>
      <c r="CN29" s="312"/>
      <c r="CO29" s="312"/>
      <c r="CP29" s="468">
        <v>0</v>
      </c>
      <c r="CQ29" s="312"/>
      <c r="CR29" s="312"/>
      <c r="CS29" s="312"/>
      <c r="CT29" s="468">
        <v>0</v>
      </c>
      <c r="CU29" s="312"/>
      <c r="CV29" s="312"/>
      <c r="CW29" s="312"/>
      <c r="CX29" s="468">
        <f t="shared" si="14"/>
        <v>0</v>
      </c>
      <c r="CY29" s="312"/>
      <c r="CZ29" s="312"/>
      <c r="DA29" s="312"/>
      <c r="DB29" s="468">
        <v>0</v>
      </c>
      <c r="DC29" s="312"/>
      <c r="DD29" s="468">
        <v>0</v>
      </c>
      <c r="DE29" s="312"/>
      <c r="DF29" s="468">
        <f t="shared" si="15"/>
        <v>10479.39</v>
      </c>
      <c r="DG29" s="312"/>
      <c r="DH29" s="468">
        <f t="shared" si="16"/>
        <v>10492</v>
      </c>
    </row>
    <row r="30" spans="1:112" x14ac:dyDescent="0.25">
      <c r="A30" s="485"/>
      <c r="B30" s="485"/>
      <c r="C30" s="485"/>
      <c r="D30" s="485"/>
      <c r="E30" s="485" t="s">
        <v>182</v>
      </c>
      <c r="F30" s="468">
        <v>0</v>
      </c>
      <c r="G30" s="312"/>
      <c r="H30" s="468"/>
      <c r="I30" s="312"/>
      <c r="J30" s="468">
        <v>0</v>
      </c>
      <c r="K30" s="312"/>
      <c r="L30" s="312"/>
      <c r="M30" s="312"/>
      <c r="N30" s="468">
        <v>4640</v>
      </c>
      <c r="O30" s="312"/>
      <c r="P30" s="468">
        <v>3232</v>
      </c>
      <c r="Q30" s="312"/>
      <c r="R30" s="468">
        <f t="shared" si="8"/>
        <v>4640</v>
      </c>
      <c r="S30" s="312"/>
      <c r="T30" s="468">
        <f>ROUND(H30+L30+P30,5)</f>
        <v>3232</v>
      </c>
      <c r="U30" s="312"/>
      <c r="V30" s="468">
        <v>0</v>
      </c>
      <c r="W30" s="312"/>
      <c r="X30" s="468"/>
      <c r="Y30" s="312"/>
      <c r="Z30" s="468">
        <v>0</v>
      </c>
      <c r="AA30" s="312"/>
      <c r="AB30" s="468"/>
      <c r="AC30" s="312"/>
      <c r="AD30" s="468">
        <v>0</v>
      </c>
      <c r="AE30" s="312"/>
      <c r="AF30" s="468"/>
      <c r="AG30" s="312"/>
      <c r="AH30" s="468">
        <v>0</v>
      </c>
      <c r="AI30" s="312"/>
      <c r="AJ30" s="312"/>
      <c r="AK30" s="312"/>
      <c r="AL30" s="468">
        <f t="shared" si="10"/>
        <v>0</v>
      </c>
      <c r="AM30" s="312"/>
      <c r="AN30" s="468"/>
      <c r="AO30" s="312"/>
      <c r="AP30" s="468">
        <v>0</v>
      </c>
      <c r="AQ30" s="312"/>
      <c r="AR30" s="468"/>
      <c r="AS30" s="312"/>
      <c r="AT30" s="468">
        <v>0</v>
      </c>
      <c r="AU30" s="312"/>
      <c r="AV30" s="468"/>
      <c r="AW30" s="312"/>
      <c r="AX30" s="468">
        <v>0</v>
      </c>
      <c r="AY30" s="312"/>
      <c r="AZ30" s="468"/>
      <c r="BA30" s="312"/>
      <c r="BB30" s="468">
        <v>0</v>
      </c>
      <c r="BC30" s="312"/>
      <c r="BD30" s="468"/>
      <c r="BE30" s="312"/>
      <c r="BF30" s="468">
        <v>0</v>
      </c>
      <c r="BG30" s="312"/>
      <c r="BH30" s="312"/>
      <c r="BI30" s="312"/>
      <c r="BJ30" s="468">
        <f t="shared" si="11"/>
        <v>0</v>
      </c>
      <c r="BK30" s="312"/>
      <c r="BL30" s="468"/>
      <c r="BM30" s="312"/>
      <c r="BN30" s="468">
        <v>0</v>
      </c>
      <c r="BO30" s="312"/>
      <c r="BP30" s="468"/>
      <c r="BQ30" s="312"/>
      <c r="BR30" s="468">
        <v>0</v>
      </c>
      <c r="BS30" s="312"/>
      <c r="BT30" s="468"/>
      <c r="BU30" s="312"/>
      <c r="BV30" s="468">
        <v>0</v>
      </c>
      <c r="BW30" s="312"/>
      <c r="BX30" s="468">
        <v>0</v>
      </c>
      <c r="BY30" s="312"/>
      <c r="BZ30" s="468">
        <f t="shared" si="12"/>
        <v>0</v>
      </c>
      <c r="CA30" s="312"/>
      <c r="CB30" s="468">
        <f>ROUND(BP30+BT30+BX30,5)</f>
        <v>0</v>
      </c>
      <c r="CC30" s="312"/>
      <c r="CD30" s="468">
        <v>0</v>
      </c>
      <c r="CE30" s="312"/>
      <c r="CF30" s="312"/>
      <c r="CG30" s="312"/>
      <c r="CH30" s="468">
        <f t="shared" si="13"/>
        <v>0</v>
      </c>
      <c r="CI30" s="312"/>
      <c r="CJ30" s="468">
        <f t="shared" si="20"/>
        <v>0</v>
      </c>
      <c r="CK30" s="312"/>
      <c r="CL30" s="468">
        <v>0</v>
      </c>
      <c r="CM30" s="312"/>
      <c r="CN30" s="312"/>
      <c r="CO30" s="312"/>
      <c r="CP30" s="468">
        <v>0</v>
      </c>
      <c r="CQ30" s="312"/>
      <c r="CR30" s="312"/>
      <c r="CS30" s="312"/>
      <c r="CT30" s="468">
        <v>0</v>
      </c>
      <c r="CU30" s="312"/>
      <c r="CV30" s="312"/>
      <c r="CW30" s="312"/>
      <c r="CX30" s="468">
        <f t="shared" si="14"/>
        <v>0</v>
      </c>
      <c r="CY30" s="312"/>
      <c r="CZ30" s="312"/>
      <c r="DA30" s="312"/>
      <c r="DB30" s="468">
        <v>0</v>
      </c>
      <c r="DC30" s="312"/>
      <c r="DD30" s="468">
        <v>0</v>
      </c>
      <c r="DE30" s="312"/>
      <c r="DF30" s="468">
        <f t="shared" si="15"/>
        <v>4640</v>
      </c>
      <c r="DG30" s="312"/>
      <c r="DH30" s="468">
        <f t="shared" si="16"/>
        <v>3232</v>
      </c>
    </row>
    <row r="31" spans="1:112" x14ac:dyDescent="0.25">
      <c r="A31" s="485"/>
      <c r="B31" s="485"/>
      <c r="C31" s="485"/>
      <c r="D31" s="485"/>
      <c r="E31" s="485" t="s">
        <v>183</v>
      </c>
      <c r="F31" s="468">
        <v>140.37</v>
      </c>
      <c r="G31" s="312"/>
      <c r="H31" s="468">
        <v>249</v>
      </c>
      <c r="I31" s="312"/>
      <c r="J31" s="468">
        <v>0</v>
      </c>
      <c r="K31" s="312"/>
      <c r="L31" s="312"/>
      <c r="M31" s="312"/>
      <c r="N31" s="468">
        <v>732.53</v>
      </c>
      <c r="O31" s="312"/>
      <c r="P31" s="468">
        <v>1528</v>
      </c>
      <c r="Q31" s="312"/>
      <c r="R31" s="468">
        <f t="shared" si="8"/>
        <v>872.9</v>
      </c>
      <c r="S31" s="312"/>
      <c r="T31" s="468">
        <f>ROUND(H31+L31+P31,5)</f>
        <v>1777</v>
      </c>
      <c r="U31" s="312"/>
      <c r="V31" s="468">
        <v>6727.79</v>
      </c>
      <c r="W31" s="312"/>
      <c r="X31" s="468">
        <v>996</v>
      </c>
      <c r="Y31" s="312"/>
      <c r="Z31" s="468">
        <v>26.64</v>
      </c>
      <c r="AA31" s="312"/>
      <c r="AB31" s="468">
        <v>50</v>
      </c>
      <c r="AC31" s="312"/>
      <c r="AD31" s="468">
        <v>60.35</v>
      </c>
      <c r="AE31" s="312"/>
      <c r="AF31" s="468"/>
      <c r="AG31" s="312"/>
      <c r="AH31" s="468">
        <v>0</v>
      </c>
      <c r="AI31" s="312"/>
      <c r="AJ31" s="312"/>
      <c r="AK31" s="312"/>
      <c r="AL31" s="468">
        <f t="shared" si="10"/>
        <v>86.99</v>
      </c>
      <c r="AM31" s="312"/>
      <c r="AN31" s="468">
        <f>ROUND(AB31+AF31+AJ31,5)</f>
        <v>50</v>
      </c>
      <c r="AO31" s="312"/>
      <c r="AP31" s="468">
        <v>95.37</v>
      </c>
      <c r="AQ31" s="312"/>
      <c r="AR31" s="468">
        <v>100</v>
      </c>
      <c r="AS31" s="312"/>
      <c r="AT31" s="468">
        <v>146.71</v>
      </c>
      <c r="AU31" s="312"/>
      <c r="AV31" s="468">
        <v>299</v>
      </c>
      <c r="AW31" s="312"/>
      <c r="AX31" s="468">
        <v>68.62</v>
      </c>
      <c r="AY31" s="312"/>
      <c r="AZ31" s="468">
        <v>250</v>
      </c>
      <c r="BA31" s="312"/>
      <c r="BB31" s="468">
        <v>846.9</v>
      </c>
      <c r="BC31" s="312"/>
      <c r="BD31" s="468">
        <v>1494</v>
      </c>
      <c r="BE31" s="312"/>
      <c r="BF31" s="468">
        <v>0</v>
      </c>
      <c r="BG31" s="312"/>
      <c r="BH31" s="312"/>
      <c r="BI31" s="312"/>
      <c r="BJ31" s="468">
        <f t="shared" si="11"/>
        <v>915.52</v>
      </c>
      <c r="BK31" s="312"/>
      <c r="BL31" s="468">
        <f>ROUND(AZ31+BD31+BH31,5)</f>
        <v>1744</v>
      </c>
      <c r="BM31" s="312"/>
      <c r="BN31" s="468">
        <v>952.55</v>
      </c>
      <c r="BO31" s="312"/>
      <c r="BP31" s="468">
        <v>398</v>
      </c>
      <c r="BQ31" s="312"/>
      <c r="BR31" s="468">
        <v>1167.6199999999999</v>
      </c>
      <c r="BS31" s="312"/>
      <c r="BT31" s="468">
        <v>1992</v>
      </c>
      <c r="BU31" s="312"/>
      <c r="BV31" s="468">
        <v>6632.66</v>
      </c>
      <c r="BW31" s="312"/>
      <c r="BX31" s="468">
        <v>6681</v>
      </c>
      <c r="BY31" s="312"/>
      <c r="BZ31" s="468">
        <f t="shared" si="12"/>
        <v>8752.83</v>
      </c>
      <c r="CA31" s="312"/>
      <c r="CB31" s="468">
        <f>ROUND(BP31+BT31+BX31,5)</f>
        <v>9071</v>
      </c>
      <c r="CC31" s="312"/>
      <c r="CD31" s="468">
        <v>0</v>
      </c>
      <c r="CE31" s="312"/>
      <c r="CF31" s="312"/>
      <c r="CG31" s="312"/>
      <c r="CH31" s="468">
        <f t="shared" si="13"/>
        <v>9997.42</v>
      </c>
      <c r="CI31" s="312"/>
      <c r="CJ31" s="468">
        <f t="shared" si="20"/>
        <v>11264</v>
      </c>
      <c r="CK31" s="312"/>
      <c r="CL31" s="468">
        <v>0</v>
      </c>
      <c r="CM31" s="312"/>
      <c r="CN31" s="312"/>
      <c r="CO31" s="312"/>
      <c r="CP31" s="468">
        <v>0</v>
      </c>
      <c r="CQ31" s="312"/>
      <c r="CR31" s="312"/>
      <c r="CS31" s="312"/>
      <c r="CT31" s="468">
        <v>0</v>
      </c>
      <c r="CU31" s="312"/>
      <c r="CV31" s="312"/>
      <c r="CW31" s="312"/>
      <c r="CX31" s="468">
        <f t="shared" si="14"/>
        <v>0</v>
      </c>
      <c r="CY31" s="312"/>
      <c r="CZ31" s="312"/>
      <c r="DA31" s="312"/>
      <c r="DB31" s="468">
        <v>0</v>
      </c>
      <c r="DC31" s="312"/>
      <c r="DD31" s="468">
        <v>0</v>
      </c>
      <c r="DE31" s="312"/>
      <c r="DF31" s="468">
        <f t="shared" si="15"/>
        <v>17598.11</v>
      </c>
      <c r="DG31" s="312"/>
      <c r="DH31" s="468">
        <f t="shared" si="16"/>
        <v>14037</v>
      </c>
    </row>
    <row r="32" spans="1:112" x14ac:dyDescent="0.25">
      <c r="A32" s="485"/>
      <c r="B32" s="485"/>
      <c r="C32" s="485"/>
      <c r="D32" s="485"/>
      <c r="E32" s="485" t="s">
        <v>184</v>
      </c>
      <c r="F32" s="468">
        <v>1707.78</v>
      </c>
      <c r="G32" s="312"/>
      <c r="H32" s="468">
        <v>382</v>
      </c>
      <c r="I32" s="312"/>
      <c r="J32" s="468">
        <v>0</v>
      </c>
      <c r="K32" s="312"/>
      <c r="L32" s="312"/>
      <c r="M32" s="312"/>
      <c r="N32" s="468">
        <v>15364.06</v>
      </c>
      <c r="O32" s="312"/>
      <c r="P32" s="468">
        <v>916</v>
      </c>
      <c r="Q32" s="312"/>
      <c r="R32" s="468">
        <f t="shared" si="8"/>
        <v>17071.84</v>
      </c>
      <c r="S32" s="312"/>
      <c r="T32" s="468">
        <f>ROUND(H32+L32+P32,5)</f>
        <v>1298</v>
      </c>
      <c r="U32" s="312"/>
      <c r="V32" s="468">
        <v>5353.04</v>
      </c>
      <c r="W32" s="312"/>
      <c r="X32" s="468">
        <v>3327</v>
      </c>
      <c r="Y32" s="312"/>
      <c r="Z32" s="468">
        <v>28.3</v>
      </c>
      <c r="AA32" s="312"/>
      <c r="AB32" s="468">
        <v>76</v>
      </c>
      <c r="AC32" s="312"/>
      <c r="AD32" s="468">
        <v>1627.78</v>
      </c>
      <c r="AE32" s="312"/>
      <c r="AF32" s="468">
        <v>153</v>
      </c>
      <c r="AG32" s="312"/>
      <c r="AH32" s="468">
        <v>0</v>
      </c>
      <c r="AI32" s="312"/>
      <c r="AJ32" s="312"/>
      <c r="AK32" s="312"/>
      <c r="AL32" s="468">
        <f t="shared" si="10"/>
        <v>1656.08</v>
      </c>
      <c r="AM32" s="312"/>
      <c r="AN32" s="468">
        <f>ROUND(AB32+AF32+AJ32,5)</f>
        <v>229</v>
      </c>
      <c r="AO32" s="312"/>
      <c r="AP32" s="468">
        <v>56.59</v>
      </c>
      <c r="AQ32" s="312"/>
      <c r="AR32" s="468">
        <v>153</v>
      </c>
      <c r="AS32" s="312"/>
      <c r="AT32" s="468">
        <v>206.48</v>
      </c>
      <c r="AU32" s="312"/>
      <c r="AV32" s="468">
        <v>458</v>
      </c>
      <c r="AW32" s="312"/>
      <c r="AX32" s="468">
        <v>401.31</v>
      </c>
      <c r="AY32" s="312"/>
      <c r="AZ32" s="468">
        <v>2453</v>
      </c>
      <c r="BA32" s="312"/>
      <c r="BB32" s="468">
        <v>19680.23</v>
      </c>
      <c r="BC32" s="312"/>
      <c r="BD32" s="468">
        <v>17290</v>
      </c>
      <c r="BE32" s="312"/>
      <c r="BF32" s="468">
        <v>0</v>
      </c>
      <c r="BG32" s="312"/>
      <c r="BH32" s="312"/>
      <c r="BI32" s="312"/>
      <c r="BJ32" s="468">
        <f t="shared" si="11"/>
        <v>20081.54</v>
      </c>
      <c r="BK32" s="312"/>
      <c r="BL32" s="468">
        <f>ROUND(AZ32+BD32+BH32,5)</f>
        <v>19743</v>
      </c>
      <c r="BM32" s="312"/>
      <c r="BN32" s="468">
        <v>3350.4</v>
      </c>
      <c r="BO32" s="312"/>
      <c r="BP32" s="468">
        <v>611</v>
      </c>
      <c r="BQ32" s="312"/>
      <c r="BR32" s="468">
        <v>1044.52</v>
      </c>
      <c r="BS32" s="312"/>
      <c r="BT32" s="468">
        <v>3053</v>
      </c>
      <c r="BU32" s="312"/>
      <c r="BV32" s="468">
        <v>2397.98</v>
      </c>
      <c r="BW32" s="312"/>
      <c r="BX32" s="468">
        <v>2290</v>
      </c>
      <c r="BY32" s="312"/>
      <c r="BZ32" s="468">
        <f t="shared" si="12"/>
        <v>6792.9</v>
      </c>
      <c r="CA32" s="312"/>
      <c r="CB32" s="468">
        <f>ROUND(BP32+BT32+BX32,5)</f>
        <v>5954</v>
      </c>
      <c r="CC32" s="312"/>
      <c r="CD32" s="468">
        <v>0</v>
      </c>
      <c r="CE32" s="312"/>
      <c r="CF32" s="312"/>
      <c r="CG32" s="312"/>
      <c r="CH32" s="468">
        <f t="shared" si="13"/>
        <v>28793.59</v>
      </c>
      <c r="CI32" s="312"/>
      <c r="CJ32" s="468">
        <f t="shared" si="20"/>
        <v>26537</v>
      </c>
      <c r="CK32" s="312"/>
      <c r="CL32" s="468">
        <v>0</v>
      </c>
      <c r="CM32" s="312"/>
      <c r="CN32" s="312"/>
      <c r="CO32" s="312"/>
      <c r="CP32" s="468">
        <v>0</v>
      </c>
      <c r="CQ32" s="312"/>
      <c r="CR32" s="312"/>
      <c r="CS32" s="312"/>
      <c r="CT32" s="468">
        <v>0</v>
      </c>
      <c r="CU32" s="312"/>
      <c r="CV32" s="312"/>
      <c r="CW32" s="312"/>
      <c r="CX32" s="468">
        <f t="shared" si="14"/>
        <v>0</v>
      </c>
      <c r="CY32" s="312"/>
      <c r="CZ32" s="312"/>
      <c r="DA32" s="312"/>
      <c r="DB32" s="468">
        <v>0</v>
      </c>
      <c r="DC32" s="312"/>
      <c r="DD32" s="468">
        <v>0</v>
      </c>
      <c r="DE32" s="312"/>
      <c r="DF32" s="468">
        <f t="shared" si="15"/>
        <v>51218.47</v>
      </c>
      <c r="DG32" s="312"/>
      <c r="DH32" s="468">
        <f t="shared" si="16"/>
        <v>31162</v>
      </c>
    </row>
    <row r="33" spans="1:112" x14ac:dyDescent="0.25">
      <c r="A33" s="485"/>
      <c r="B33" s="485"/>
      <c r="C33" s="485"/>
      <c r="D33" s="485"/>
      <c r="E33" s="485" t="s">
        <v>185</v>
      </c>
      <c r="F33" s="468">
        <v>0</v>
      </c>
      <c r="G33" s="312"/>
      <c r="H33" s="468"/>
      <c r="I33" s="312"/>
      <c r="J33" s="468">
        <v>0</v>
      </c>
      <c r="K33" s="312"/>
      <c r="L33" s="312"/>
      <c r="M33" s="312"/>
      <c r="N33" s="468">
        <v>0</v>
      </c>
      <c r="O33" s="312"/>
      <c r="P33" s="468"/>
      <c r="Q33" s="312"/>
      <c r="R33" s="468">
        <f t="shared" si="8"/>
        <v>0</v>
      </c>
      <c r="S33" s="312"/>
      <c r="T33" s="468"/>
      <c r="U33" s="312"/>
      <c r="V33" s="468">
        <v>0</v>
      </c>
      <c r="W33" s="312"/>
      <c r="X33" s="468"/>
      <c r="Y33" s="312"/>
      <c r="Z33" s="468">
        <v>0</v>
      </c>
      <c r="AA33" s="312"/>
      <c r="AB33" s="468"/>
      <c r="AC33" s="312"/>
      <c r="AD33" s="468">
        <v>0</v>
      </c>
      <c r="AE33" s="312"/>
      <c r="AF33" s="468"/>
      <c r="AG33" s="312"/>
      <c r="AH33" s="468">
        <v>0</v>
      </c>
      <c r="AI33" s="312"/>
      <c r="AJ33" s="312"/>
      <c r="AK33" s="312"/>
      <c r="AL33" s="468">
        <f t="shared" si="10"/>
        <v>0</v>
      </c>
      <c r="AM33" s="312"/>
      <c r="AN33" s="468"/>
      <c r="AO33" s="312"/>
      <c r="AP33" s="468">
        <v>0</v>
      </c>
      <c r="AQ33" s="312"/>
      <c r="AR33" s="468"/>
      <c r="AS33" s="312"/>
      <c r="AT33" s="468">
        <v>0</v>
      </c>
      <c r="AU33" s="312"/>
      <c r="AV33" s="468"/>
      <c r="AW33" s="312"/>
      <c r="AX33" s="468">
        <v>0</v>
      </c>
      <c r="AY33" s="312"/>
      <c r="AZ33" s="468"/>
      <c r="BA33" s="312"/>
      <c r="BB33" s="468">
        <v>10668.42</v>
      </c>
      <c r="BC33" s="312"/>
      <c r="BD33" s="468"/>
      <c r="BE33" s="312"/>
      <c r="BF33" s="468">
        <v>0</v>
      </c>
      <c r="BG33" s="312"/>
      <c r="BH33" s="312"/>
      <c r="BI33" s="312"/>
      <c r="BJ33" s="468">
        <f t="shared" si="11"/>
        <v>10668.42</v>
      </c>
      <c r="BK33" s="312"/>
      <c r="BL33" s="468"/>
      <c r="BM33" s="312"/>
      <c r="BN33" s="468">
        <v>0</v>
      </c>
      <c r="BO33" s="312"/>
      <c r="BP33" s="468"/>
      <c r="BQ33" s="312"/>
      <c r="BR33" s="468">
        <v>0</v>
      </c>
      <c r="BS33" s="312"/>
      <c r="BT33" s="468"/>
      <c r="BU33" s="312"/>
      <c r="BV33" s="468">
        <v>0</v>
      </c>
      <c r="BW33" s="312"/>
      <c r="BX33" s="468"/>
      <c r="BY33" s="312"/>
      <c r="BZ33" s="468">
        <f t="shared" si="12"/>
        <v>0</v>
      </c>
      <c r="CA33" s="312"/>
      <c r="CB33" s="468"/>
      <c r="CC33" s="312"/>
      <c r="CD33" s="468">
        <v>0</v>
      </c>
      <c r="CE33" s="312"/>
      <c r="CF33" s="312"/>
      <c r="CG33" s="312"/>
      <c r="CH33" s="468">
        <f t="shared" si="13"/>
        <v>10668.42</v>
      </c>
      <c r="CI33" s="312"/>
      <c r="CJ33" s="468"/>
      <c r="CK33" s="312"/>
      <c r="CL33" s="468">
        <v>0</v>
      </c>
      <c r="CM33" s="312"/>
      <c r="CN33" s="312"/>
      <c r="CO33" s="312"/>
      <c r="CP33" s="468">
        <v>0</v>
      </c>
      <c r="CQ33" s="312"/>
      <c r="CR33" s="312"/>
      <c r="CS33" s="312"/>
      <c r="CT33" s="468">
        <v>0</v>
      </c>
      <c r="CU33" s="312"/>
      <c r="CV33" s="312"/>
      <c r="CW33" s="312"/>
      <c r="CX33" s="468">
        <f t="shared" si="14"/>
        <v>0</v>
      </c>
      <c r="CY33" s="312"/>
      <c r="CZ33" s="312"/>
      <c r="DA33" s="312"/>
      <c r="DB33" s="468">
        <v>0</v>
      </c>
      <c r="DC33" s="312"/>
      <c r="DD33" s="468">
        <v>0</v>
      </c>
      <c r="DE33" s="312"/>
      <c r="DF33" s="468">
        <f t="shared" si="15"/>
        <v>10668.42</v>
      </c>
      <c r="DG33" s="312"/>
      <c r="DH33" s="468">
        <f t="shared" si="16"/>
        <v>0</v>
      </c>
    </row>
    <row r="34" spans="1:112" ht="15.75" thickBot="1" x14ac:dyDescent="0.3">
      <c r="A34" s="485"/>
      <c r="B34" s="485"/>
      <c r="C34" s="485"/>
      <c r="D34" s="485"/>
      <c r="E34" s="485" t="s">
        <v>507</v>
      </c>
      <c r="F34" s="467">
        <v>0</v>
      </c>
      <c r="G34" s="312"/>
      <c r="H34" s="467"/>
      <c r="I34" s="312"/>
      <c r="J34" s="467">
        <v>0</v>
      </c>
      <c r="K34" s="312"/>
      <c r="L34" s="312"/>
      <c r="M34" s="312"/>
      <c r="N34" s="467">
        <v>7</v>
      </c>
      <c r="O34" s="312"/>
      <c r="P34" s="467"/>
      <c r="Q34" s="312"/>
      <c r="R34" s="467">
        <f t="shared" si="8"/>
        <v>7</v>
      </c>
      <c r="S34" s="312"/>
      <c r="T34" s="467"/>
      <c r="U34" s="312"/>
      <c r="V34" s="467">
        <v>0</v>
      </c>
      <c r="W34" s="312"/>
      <c r="X34" s="467"/>
      <c r="Y34" s="312"/>
      <c r="Z34" s="467">
        <v>0</v>
      </c>
      <c r="AA34" s="312"/>
      <c r="AB34" s="467"/>
      <c r="AC34" s="312"/>
      <c r="AD34" s="467">
        <v>0</v>
      </c>
      <c r="AE34" s="312"/>
      <c r="AF34" s="467"/>
      <c r="AG34" s="312"/>
      <c r="AH34" s="467">
        <v>0</v>
      </c>
      <c r="AI34" s="312"/>
      <c r="AJ34" s="312"/>
      <c r="AK34" s="312"/>
      <c r="AL34" s="467">
        <f t="shared" si="10"/>
        <v>0</v>
      </c>
      <c r="AM34" s="312"/>
      <c r="AN34" s="467"/>
      <c r="AO34" s="312"/>
      <c r="AP34" s="467">
        <v>0</v>
      </c>
      <c r="AQ34" s="312"/>
      <c r="AR34" s="467"/>
      <c r="AS34" s="312"/>
      <c r="AT34" s="467">
        <v>0</v>
      </c>
      <c r="AU34" s="312"/>
      <c r="AV34" s="467"/>
      <c r="AW34" s="312"/>
      <c r="AX34" s="467">
        <v>323.29000000000002</v>
      </c>
      <c r="AY34" s="312"/>
      <c r="AZ34" s="467"/>
      <c r="BA34" s="312"/>
      <c r="BB34" s="467">
        <v>0</v>
      </c>
      <c r="BC34" s="312"/>
      <c r="BD34" s="467"/>
      <c r="BE34" s="312"/>
      <c r="BF34" s="467">
        <v>0</v>
      </c>
      <c r="BG34" s="312"/>
      <c r="BH34" s="312"/>
      <c r="BI34" s="312"/>
      <c r="BJ34" s="467">
        <f t="shared" si="11"/>
        <v>323.29000000000002</v>
      </c>
      <c r="BK34" s="312"/>
      <c r="BL34" s="467"/>
      <c r="BM34" s="312"/>
      <c r="BN34" s="467">
        <v>0</v>
      </c>
      <c r="BO34" s="312"/>
      <c r="BP34" s="467"/>
      <c r="BQ34" s="312"/>
      <c r="BR34" s="467">
        <v>0</v>
      </c>
      <c r="BS34" s="312"/>
      <c r="BT34" s="467"/>
      <c r="BU34" s="312"/>
      <c r="BV34" s="467">
        <v>0</v>
      </c>
      <c r="BW34" s="312"/>
      <c r="BX34" s="467"/>
      <c r="BY34" s="312"/>
      <c r="BZ34" s="467">
        <f t="shared" si="12"/>
        <v>0</v>
      </c>
      <c r="CA34" s="312"/>
      <c r="CB34" s="467"/>
      <c r="CC34" s="312"/>
      <c r="CD34" s="467">
        <v>0</v>
      </c>
      <c r="CE34" s="312"/>
      <c r="CF34" s="312"/>
      <c r="CG34" s="312"/>
      <c r="CH34" s="467">
        <f t="shared" si="13"/>
        <v>323.29000000000002</v>
      </c>
      <c r="CI34" s="312"/>
      <c r="CJ34" s="467"/>
      <c r="CK34" s="312"/>
      <c r="CL34" s="467">
        <v>0</v>
      </c>
      <c r="CM34" s="312"/>
      <c r="CN34" s="312"/>
      <c r="CO34" s="312"/>
      <c r="CP34" s="467">
        <v>0</v>
      </c>
      <c r="CQ34" s="312"/>
      <c r="CR34" s="312"/>
      <c r="CS34" s="312"/>
      <c r="CT34" s="467">
        <v>0</v>
      </c>
      <c r="CU34" s="312"/>
      <c r="CV34" s="312"/>
      <c r="CW34" s="312"/>
      <c r="CX34" s="467">
        <f t="shared" si="14"/>
        <v>0</v>
      </c>
      <c r="CY34" s="312"/>
      <c r="CZ34" s="312"/>
      <c r="DA34" s="312"/>
      <c r="DB34" s="467">
        <v>0</v>
      </c>
      <c r="DC34" s="312"/>
      <c r="DD34" s="467">
        <v>0</v>
      </c>
      <c r="DE34" s="312"/>
      <c r="DF34" s="467">
        <f t="shared" si="15"/>
        <v>330.29</v>
      </c>
      <c r="DG34" s="312"/>
      <c r="DH34" s="467">
        <f t="shared" si="16"/>
        <v>0</v>
      </c>
    </row>
    <row r="35" spans="1:112" ht="15.75" thickBot="1" x14ac:dyDescent="0.3">
      <c r="A35" s="485"/>
      <c r="B35" s="485"/>
      <c r="C35" s="485"/>
      <c r="D35" s="485" t="s">
        <v>73</v>
      </c>
      <c r="E35" s="485"/>
      <c r="F35" s="315">
        <f>ROUND(SUM(F16:F34),5)</f>
        <v>19717.66</v>
      </c>
      <c r="G35" s="312"/>
      <c r="H35" s="315">
        <f>ROUND(SUM(H16:H34),5)</f>
        <v>29385</v>
      </c>
      <c r="I35" s="312"/>
      <c r="J35" s="315">
        <f>ROUND(SUM(J16:J34),5)</f>
        <v>0</v>
      </c>
      <c r="K35" s="312"/>
      <c r="L35" s="312"/>
      <c r="M35" s="312"/>
      <c r="N35" s="315">
        <f>ROUND(SUM(N16:N34),5)</f>
        <v>70871.27</v>
      </c>
      <c r="O35" s="312"/>
      <c r="P35" s="315">
        <f>ROUND(SUM(P16:P34),5)</f>
        <v>68612</v>
      </c>
      <c r="Q35" s="312"/>
      <c r="R35" s="315">
        <f t="shared" si="8"/>
        <v>90588.93</v>
      </c>
      <c r="S35" s="312"/>
      <c r="T35" s="315">
        <f>ROUND(H35+L35+P35,5)</f>
        <v>97997</v>
      </c>
      <c r="U35" s="312"/>
      <c r="V35" s="315">
        <f>ROUND(SUM(V16:V34),5)</f>
        <v>74569.36</v>
      </c>
      <c r="W35" s="312"/>
      <c r="X35" s="315">
        <f>ROUND(SUM(X16:X34),5)</f>
        <v>69424</v>
      </c>
      <c r="Y35" s="312"/>
      <c r="Z35" s="315">
        <f>ROUND(SUM(Z16:Z34),5)</f>
        <v>2264.1</v>
      </c>
      <c r="AA35" s="312"/>
      <c r="AB35" s="315">
        <f>ROUND(SUM(AB16:AB34),5)</f>
        <v>3388</v>
      </c>
      <c r="AC35" s="312"/>
      <c r="AD35" s="315">
        <f>ROUND(SUM(AD16:AD34),5)</f>
        <v>5913.68</v>
      </c>
      <c r="AE35" s="312"/>
      <c r="AF35" s="315">
        <f>ROUND(SUM(AF16:AF34),5)</f>
        <v>12481</v>
      </c>
      <c r="AG35" s="312"/>
      <c r="AH35" s="315">
        <f>ROUND(SUM(AH16:AH34),5)</f>
        <v>0</v>
      </c>
      <c r="AI35" s="312"/>
      <c r="AJ35" s="312"/>
      <c r="AK35" s="312"/>
      <c r="AL35" s="315">
        <f t="shared" si="10"/>
        <v>8177.78</v>
      </c>
      <c r="AM35" s="312"/>
      <c r="AN35" s="315">
        <f>ROUND(AB35+AF35+AJ35,5)</f>
        <v>15869</v>
      </c>
      <c r="AO35" s="312"/>
      <c r="AP35" s="315">
        <f>ROUND(SUM(AP16:AP34),5)</f>
        <v>2833.44</v>
      </c>
      <c r="AQ35" s="312"/>
      <c r="AR35" s="315">
        <f>ROUND(SUM(AR16:AR34),5)</f>
        <v>3828</v>
      </c>
      <c r="AS35" s="312"/>
      <c r="AT35" s="315">
        <f>ROUND(SUM(AT16:AT34),5)</f>
        <v>10386.290000000001</v>
      </c>
      <c r="AU35" s="312"/>
      <c r="AV35" s="315">
        <f>ROUND(SUM(AV16:AV34),5)</f>
        <v>12916</v>
      </c>
      <c r="AW35" s="312"/>
      <c r="AX35" s="315">
        <f>ROUND(SUM(AX16:AX34),5)</f>
        <v>4728.8599999999997</v>
      </c>
      <c r="AY35" s="312"/>
      <c r="AZ35" s="315">
        <f>ROUND(SUM(AZ16:AZ34),5)</f>
        <v>6822</v>
      </c>
      <c r="BA35" s="312"/>
      <c r="BB35" s="315">
        <f>ROUND(SUM(BB16:BB34),5)</f>
        <v>81435.28</v>
      </c>
      <c r="BC35" s="312"/>
      <c r="BD35" s="315">
        <f>ROUND(SUM(BD16:BD34),5)</f>
        <v>76532</v>
      </c>
      <c r="BE35" s="312"/>
      <c r="BF35" s="315">
        <f>ROUND(SUM(BF16:BF34),5)</f>
        <v>0</v>
      </c>
      <c r="BG35" s="312"/>
      <c r="BH35" s="312"/>
      <c r="BI35" s="312"/>
      <c r="BJ35" s="315">
        <f t="shared" si="11"/>
        <v>86164.14</v>
      </c>
      <c r="BK35" s="312"/>
      <c r="BL35" s="315">
        <f>ROUND(AZ35+BD35+BH35,5)</f>
        <v>83354</v>
      </c>
      <c r="BM35" s="312"/>
      <c r="BN35" s="315">
        <f>ROUND(SUM(BN16:BN34),5)</f>
        <v>16542.96</v>
      </c>
      <c r="BO35" s="312"/>
      <c r="BP35" s="315">
        <f>ROUND(SUM(BP16:BP34),5)</f>
        <v>21896</v>
      </c>
      <c r="BQ35" s="312"/>
      <c r="BR35" s="315">
        <f>ROUND(SUM(BR16:BR34),5)</f>
        <v>37624.1</v>
      </c>
      <c r="BS35" s="312"/>
      <c r="BT35" s="315">
        <f>ROUND(SUM(BT16:BT34),5)</f>
        <v>57644</v>
      </c>
      <c r="BU35" s="312"/>
      <c r="BV35" s="315">
        <f>ROUND(SUM(BV16:BV34),5)</f>
        <v>99436.27</v>
      </c>
      <c r="BW35" s="312"/>
      <c r="BX35" s="315">
        <f>ROUND(SUM(BX16:BX34),5)</f>
        <v>97039</v>
      </c>
      <c r="BY35" s="312"/>
      <c r="BZ35" s="315">
        <f t="shared" si="12"/>
        <v>153603.32999999999</v>
      </c>
      <c r="CA35" s="312"/>
      <c r="CB35" s="315">
        <f>ROUND(BP35+BT35+BX35,5)</f>
        <v>176579</v>
      </c>
      <c r="CC35" s="312"/>
      <c r="CD35" s="315">
        <f>ROUND(SUM(CD16:CD34),5)</f>
        <v>0</v>
      </c>
      <c r="CE35" s="312"/>
      <c r="CF35" s="312"/>
      <c r="CG35" s="312"/>
      <c r="CH35" s="315">
        <f t="shared" si="13"/>
        <v>261164.98</v>
      </c>
      <c r="CI35" s="312"/>
      <c r="CJ35" s="315">
        <f>ROUND(AN35+AR35+AV35+BL35+CB35+CF35,5)</f>
        <v>292546</v>
      </c>
      <c r="CK35" s="312"/>
      <c r="CL35" s="315">
        <f>ROUND(SUM(CL16:CL34),5)</f>
        <v>0</v>
      </c>
      <c r="CM35" s="312"/>
      <c r="CN35" s="312"/>
      <c r="CO35" s="312"/>
      <c r="CP35" s="315">
        <f>ROUND(SUM(CP16:CP34),5)</f>
        <v>0.09</v>
      </c>
      <c r="CQ35" s="312"/>
      <c r="CR35" s="312"/>
      <c r="CS35" s="312"/>
      <c r="CT35" s="315">
        <f>ROUND(SUM(CT16:CT34),5)</f>
        <v>0</v>
      </c>
      <c r="CU35" s="312"/>
      <c r="CV35" s="312"/>
      <c r="CW35" s="312"/>
      <c r="CX35" s="315">
        <f t="shared" si="14"/>
        <v>0.09</v>
      </c>
      <c r="CY35" s="312"/>
      <c r="CZ35" s="312"/>
      <c r="DA35" s="312"/>
      <c r="DB35" s="315">
        <f>ROUND(SUM(DB16:DB34),5)</f>
        <v>-0.06</v>
      </c>
      <c r="DC35" s="312"/>
      <c r="DD35" s="315">
        <f>ROUND(SUM(DD16:DD34),5)</f>
        <v>0</v>
      </c>
      <c r="DE35" s="312"/>
      <c r="DF35" s="315">
        <f t="shared" si="15"/>
        <v>426323.3</v>
      </c>
      <c r="DG35" s="312"/>
      <c r="DH35" s="315">
        <f t="shared" si="16"/>
        <v>459967</v>
      </c>
    </row>
    <row r="36" spans="1:112" ht="15.75" thickBot="1" x14ac:dyDescent="0.3">
      <c r="A36" s="485"/>
      <c r="B36" s="485" t="s">
        <v>186</v>
      </c>
      <c r="C36" s="485"/>
      <c r="D36" s="485"/>
      <c r="E36" s="485"/>
      <c r="F36" s="315">
        <f>ROUND(F4+F15-F35,5)</f>
        <v>-19360.64</v>
      </c>
      <c r="G36" s="312"/>
      <c r="H36" s="315">
        <f>ROUND(H4+H15-H35,5)</f>
        <v>-29385</v>
      </c>
      <c r="I36" s="312"/>
      <c r="J36" s="315">
        <f>ROUND(J4+J15-J35,5)</f>
        <v>0</v>
      </c>
      <c r="K36" s="312"/>
      <c r="L36" s="312"/>
      <c r="M36" s="312"/>
      <c r="N36" s="315">
        <f>ROUND(N4+N15-N35,5)</f>
        <v>130135.49</v>
      </c>
      <c r="O36" s="312"/>
      <c r="P36" s="315">
        <f>ROUND(P4+P15-P35,5)</f>
        <v>129242</v>
      </c>
      <c r="Q36" s="312"/>
      <c r="R36" s="315">
        <f t="shared" si="8"/>
        <v>110774.85</v>
      </c>
      <c r="S36" s="312"/>
      <c r="T36" s="315">
        <f>ROUND(H36+L36+P36,5)</f>
        <v>99857</v>
      </c>
      <c r="U36" s="312"/>
      <c r="V36" s="315">
        <f>ROUND(V4+V15-V35,5)</f>
        <v>12341.68</v>
      </c>
      <c r="W36" s="312"/>
      <c r="X36" s="315">
        <f>ROUND(X4+X15-X35,5)</f>
        <v>23576</v>
      </c>
      <c r="Y36" s="312"/>
      <c r="Z36" s="315">
        <f>ROUND(Z4+Z15-Z35,5)</f>
        <v>-2264.1</v>
      </c>
      <c r="AA36" s="312"/>
      <c r="AB36" s="315">
        <f>ROUND(AB4+AB15-AB35,5)</f>
        <v>-3388</v>
      </c>
      <c r="AC36" s="312"/>
      <c r="AD36" s="315">
        <f>ROUND(AD4+AD15-AD35,5)</f>
        <v>-5913.68</v>
      </c>
      <c r="AE36" s="312"/>
      <c r="AF36" s="315">
        <f>ROUND(AF4+AF15-AF35,5)</f>
        <v>-12481</v>
      </c>
      <c r="AG36" s="312"/>
      <c r="AH36" s="315">
        <f>ROUND(AH4+AH15-AH35,5)</f>
        <v>0</v>
      </c>
      <c r="AI36" s="312"/>
      <c r="AJ36" s="312"/>
      <c r="AK36" s="312"/>
      <c r="AL36" s="315">
        <f t="shared" si="10"/>
        <v>-8177.78</v>
      </c>
      <c r="AM36" s="312"/>
      <c r="AN36" s="315">
        <f>ROUND(AB36+AF36+AJ36,5)</f>
        <v>-15869</v>
      </c>
      <c r="AO36" s="312"/>
      <c r="AP36" s="315">
        <f>ROUND(AP4+AP15-AP35,5)</f>
        <v>-2833.44</v>
      </c>
      <c r="AQ36" s="312"/>
      <c r="AR36" s="315">
        <f>ROUND(AR4+AR15-AR35,5)</f>
        <v>-3828</v>
      </c>
      <c r="AS36" s="312"/>
      <c r="AT36" s="315">
        <f>ROUND(AT4+AT15-AT35,5)</f>
        <v>-10225.19</v>
      </c>
      <c r="AU36" s="312"/>
      <c r="AV36" s="315">
        <f>ROUND(AV4+AV15-AV35,5)</f>
        <v>-12916</v>
      </c>
      <c r="AW36" s="312"/>
      <c r="AX36" s="315">
        <f>ROUND(AX4+AX15-AX35,5)</f>
        <v>10718.97</v>
      </c>
      <c r="AY36" s="312"/>
      <c r="AZ36" s="315">
        <f>ROUND(AZ4+AZ15-AZ35,5)</f>
        <v>18178</v>
      </c>
      <c r="BA36" s="312"/>
      <c r="BB36" s="315">
        <f>ROUND(BB4+BB15-BB35,5)</f>
        <v>24793.14</v>
      </c>
      <c r="BC36" s="312"/>
      <c r="BD36" s="315">
        <f>ROUND(BD4+BD15-BD35,5)</f>
        <v>39718</v>
      </c>
      <c r="BE36" s="312"/>
      <c r="BF36" s="315">
        <f>ROUND(BF4+BF15-BF35,5)</f>
        <v>950</v>
      </c>
      <c r="BG36" s="312"/>
      <c r="BH36" s="312"/>
      <c r="BI36" s="312"/>
      <c r="BJ36" s="315">
        <f t="shared" si="11"/>
        <v>36462.11</v>
      </c>
      <c r="BK36" s="312"/>
      <c r="BL36" s="315">
        <f>ROUND(AZ36+BD36+BH36,5)</f>
        <v>57896</v>
      </c>
      <c r="BM36" s="312"/>
      <c r="BN36" s="315">
        <f>ROUND(BN4+BN15-BN35,5)</f>
        <v>-9522.18</v>
      </c>
      <c r="BO36" s="312"/>
      <c r="BP36" s="315">
        <f>ROUND(BP4+BP15-BP35,5)</f>
        <v>-21896</v>
      </c>
      <c r="BQ36" s="312"/>
      <c r="BR36" s="315">
        <f>ROUND(BR4+BR15-BR35,5)</f>
        <v>-35384.1</v>
      </c>
      <c r="BS36" s="312"/>
      <c r="BT36" s="315">
        <f>ROUND(BT4+BT15-BT35,5)</f>
        <v>-32644</v>
      </c>
      <c r="BU36" s="312"/>
      <c r="BV36" s="315">
        <f>ROUND(BV4+BV15-BV35,5)</f>
        <v>-97066.27</v>
      </c>
      <c r="BW36" s="312"/>
      <c r="BX36" s="315">
        <f>ROUND(BX4+BX15-BX35,5)</f>
        <v>-89539</v>
      </c>
      <c r="BY36" s="312"/>
      <c r="BZ36" s="315">
        <f t="shared" si="12"/>
        <v>-141972.54999999999</v>
      </c>
      <c r="CA36" s="312"/>
      <c r="CB36" s="315">
        <f>ROUND(BP36+BT36+BX36,5)</f>
        <v>-144079</v>
      </c>
      <c r="CC36" s="312"/>
      <c r="CD36" s="315">
        <f>ROUND(CD4+CD15-CD35,5)</f>
        <v>0</v>
      </c>
      <c r="CE36" s="312"/>
      <c r="CF36" s="312"/>
      <c r="CG36" s="312"/>
      <c r="CH36" s="315">
        <f t="shared" si="13"/>
        <v>-126746.85</v>
      </c>
      <c r="CI36" s="312"/>
      <c r="CJ36" s="315">
        <f>ROUND(AN36+AR36+AV36+BL36+CB36+CF36,5)</f>
        <v>-118796</v>
      </c>
      <c r="CK36" s="312"/>
      <c r="CL36" s="315">
        <f>ROUND(CL4+CL15-CL35,5)</f>
        <v>0</v>
      </c>
      <c r="CM36" s="312"/>
      <c r="CN36" s="312"/>
      <c r="CO36" s="312"/>
      <c r="CP36" s="315">
        <f>ROUND(CP4+CP15-CP35,5)</f>
        <v>-0.09</v>
      </c>
      <c r="CQ36" s="312"/>
      <c r="CR36" s="312"/>
      <c r="CS36" s="312"/>
      <c r="CT36" s="315">
        <f>ROUND(CT4+CT15-CT35,5)</f>
        <v>0</v>
      </c>
      <c r="CU36" s="312"/>
      <c r="CV36" s="312"/>
      <c r="CW36" s="312"/>
      <c r="CX36" s="315">
        <f t="shared" si="14"/>
        <v>-0.09</v>
      </c>
      <c r="CY36" s="312"/>
      <c r="CZ36" s="312"/>
      <c r="DA36" s="312"/>
      <c r="DB36" s="315">
        <f>ROUND(DB4+DB15-DB35,5)</f>
        <v>0.06</v>
      </c>
      <c r="DC36" s="312"/>
      <c r="DD36" s="315">
        <f>ROUND(DD4+DD15-DD35,5)</f>
        <v>0</v>
      </c>
      <c r="DE36" s="312"/>
      <c r="DF36" s="315">
        <f t="shared" si="15"/>
        <v>-3630.35</v>
      </c>
      <c r="DG36" s="312"/>
      <c r="DH36" s="315">
        <f t="shared" si="16"/>
        <v>4637</v>
      </c>
    </row>
    <row r="37" spans="1:112" s="317" customFormat="1" ht="12" thickBot="1" x14ac:dyDescent="0.25">
      <c r="A37" s="485" t="s">
        <v>187</v>
      </c>
      <c r="B37" s="485"/>
      <c r="C37" s="485"/>
      <c r="D37" s="485"/>
      <c r="E37" s="485"/>
      <c r="F37" s="316">
        <f>F36</f>
        <v>-19360.64</v>
      </c>
      <c r="G37" s="485"/>
      <c r="H37" s="316">
        <f>H36</f>
        <v>-29385</v>
      </c>
      <c r="I37" s="485"/>
      <c r="J37" s="316">
        <f>J36</f>
        <v>0</v>
      </c>
      <c r="K37" s="485"/>
      <c r="L37" s="485"/>
      <c r="M37" s="485"/>
      <c r="N37" s="316">
        <f>N36</f>
        <v>130135.49</v>
      </c>
      <c r="O37" s="485"/>
      <c r="P37" s="316">
        <f>P36</f>
        <v>129242</v>
      </c>
      <c r="Q37" s="485"/>
      <c r="R37" s="316">
        <f t="shared" si="8"/>
        <v>110774.85</v>
      </c>
      <c r="S37" s="485"/>
      <c r="T37" s="316">
        <f>ROUND(H37+L37+P37,5)</f>
        <v>99857</v>
      </c>
      <c r="U37" s="485"/>
      <c r="V37" s="316">
        <f>V36</f>
        <v>12341.68</v>
      </c>
      <c r="W37" s="485"/>
      <c r="X37" s="316">
        <f>X36</f>
        <v>23576</v>
      </c>
      <c r="Y37" s="485"/>
      <c r="Z37" s="316">
        <f>Z36</f>
        <v>-2264.1</v>
      </c>
      <c r="AA37" s="485"/>
      <c r="AB37" s="316">
        <f>AB36</f>
        <v>-3388</v>
      </c>
      <c r="AC37" s="485"/>
      <c r="AD37" s="316">
        <f>AD36</f>
        <v>-5913.68</v>
      </c>
      <c r="AE37" s="485"/>
      <c r="AF37" s="316">
        <f>AF36</f>
        <v>-12481</v>
      </c>
      <c r="AG37" s="485"/>
      <c r="AH37" s="316">
        <f>AH36</f>
        <v>0</v>
      </c>
      <c r="AI37" s="485"/>
      <c r="AJ37" s="485"/>
      <c r="AK37" s="485"/>
      <c r="AL37" s="316">
        <f t="shared" si="10"/>
        <v>-8177.78</v>
      </c>
      <c r="AM37" s="485"/>
      <c r="AN37" s="316">
        <f>ROUND(AB37+AF37+AJ37,5)</f>
        <v>-15869</v>
      </c>
      <c r="AO37" s="485"/>
      <c r="AP37" s="316">
        <f>AP36</f>
        <v>-2833.44</v>
      </c>
      <c r="AQ37" s="485"/>
      <c r="AR37" s="316">
        <f>AR36</f>
        <v>-3828</v>
      </c>
      <c r="AS37" s="485"/>
      <c r="AT37" s="316">
        <f>AT36</f>
        <v>-10225.19</v>
      </c>
      <c r="AU37" s="485"/>
      <c r="AV37" s="316">
        <f>AV36</f>
        <v>-12916</v>
      </c>
      <c r="AW37" s="485"/>
      <c r="AX37" s="316">
        <f>AX36</f>
        <v>10718.97</v>
      </c>
      <c r="AY37" s="485"/>
      <c r="AZ37" s="316">
        <f>AZ36</f>
        <v>18178</v>
      </c>
      <c r="BA37" s="485"/>
      <c r="BB37" s="316">
        <f>BB36</f>
        <v>24793.14</v>
      </c>
      <c r="BC37" s="485"/>
      <c r="BD37" s="316">
        <f>BD36</f>
        <v>39718</v>
      </c>
      <c r="BE37" s="485"/>
      <c r="BF37" s="316">
        <f>BF36</f>
        <v>950</v>
      </c>
      <c r="BG37" s="485"/>
      <c r="BH37" s="485"/>
      <c r="BI37" s="485"/>
      <c r="BJ37" s="316">
        <f t="shared" si="11"/>
        <v>36462.11</v>
      </c>
      <c r="BK37" s="485"/>
      <c r="BL37" s="316">
        <f>ROUND(AZ37+BD37+BH37,5)</f>
        <v>57896</v>
      </c>
      <c r="BM37" s="485"/>
      <c r="BN37" s="316">
        <f>BN36</f>
        <v>-9522.18</v>
      </c>
      <c r="BO37" s="485"/>
      <c r="BP37" s="316">
        <f>BP36</f>
        <v>-21896</v>
      </c>
      <c r="BQ37" s="485"/>
      <c r="BR37" s="316">
        <f>BR36</f>
        <v>-35384.1</v>
      </c>
      <c r="BS37" s="485"/>
      <c r="BT37" s="316">
        <f>BT36</f>
        <v>-32644</v>
      </c>
      <c r="BU37" s="485"/>
      <c r="BV37" s="316">
        <f>BV36</f>
        <v>-97066.27</v>
      </c>
      <c r="BW37" s="485"/>
      <c r="BX37" s="316">
        <f>BX36</f>
        <v>-89539</v>
      </c>
      <c r="BY37" s="485"/>
      <c r="BZ37" s="316">
        <f t="shared" si="12"/>
        <v>-141972.54999999999</v>
      </c>
      <c r="CA37" s="485"/>
      <c r="CB37" s="316">
        <f>ROUND(BP37+BT37+BX37,5)</f>
        <v>-144079</v>
      </c>
      <c r="CC37" s="485"/>
      <c r="CD37" s="316">
        <f>CD36</f>
        <v>0</v>
      </c>
      <c r="CE37" s="485"/>
      <c r="CF37" s="485"/>
      <c r="CG37" s="485"/>
      <c r="CH37" s="316">
        <f t="shared" si="13"/>
        <v>-126746.85</v>
      </c>
      <c r="CI37" s="485"/>
      <c r="CJ37" s="316">
        <f>ROUND(AN37+AR37+AV37+BL37+CB37+CF37,5)</f>
        <v>-118796</v>
      </c>
      <c r="CK37" s="485"/>
      <c r="CL37" s="316">
        <f>CL36</f>
        <v>0</v>
      </c>
      <c r="CM37" s="485"/>
      <c r="CN37" s="485"/>
      <c r="CO37" s="485"/>
      <c r="CP37" s="316">
        <f>CP36</f>
        <v>-0.09</v>
      </c>
      <c r="CQ37" s="485"/>
      <c r="CR37" s="485"/>
      <c r="CS37" s="485"/>
      <c r="CT37" s="316">
        <f>CT36</f>
        <v>0</v>
      </c>
      <c r="CU37" s="485"/>
      <c r="CV37" s="485"/>
      <c r="CW37" s="485"/>
      <c r="CX37" s="316">
        <f t="shared" si="14"/>
        <v>-0.09</v>
      </c>
      <c r="CY37" s="485"/>
      <c r="CZ37" s="485"/>
      <c r="DA37" s="485"/>
      <c r="DB37" s="316">
        <f>DB36</f>
        <v>0.06</v>
      </c>
      <c r="DC37" s="485"/>
      <c r="DD37" s="316">
        <f>DD36</f>
        <v>0</v>
      </c>
      <c r="DE37" s="485"/>
      <c r="DF37" s="316">
        <f t="shared" si="15"/>
        <v>-3630.35</v>
      </c>
      <c r="DG37" s="485"/>
      <c r="DH37" s="316">
        <f t="shared" si="16"/>
        <v>4637</v>
      </c>
    </row>
    <row r="38" spans="1:112" ht="15.75" thickTop="1" x14ac:dyDescent="0.25"/>
  </sheetData>
  <pageMargins left="0.2" right="0.2" top="0.75" bottom="0.5" header="0.1" footer="0.3"/>
  <pageSetup scale="90" orientation="portrait" r:id="rId1"/>
  <headerFooter>
    <oddHeader>&amp;L&amp;"Arial,Bold"&amp;8 4:15 PM
 10/01/18
 Accrual Basis&amp;C&amp;"Arial,Bold"&amp;12 League of Women Voters of California
&amp;14 Statement of Activities Budget vs. Actual
&amp;10 July through August 2018</oddHeader>
    <oddFooter>&amp;R&amp;"Arial,Bold"&amp;8 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F66"/>
  <sheetViews>
    <sheetView workbookViewId="0">
      <pane xSplit="7" ySplit="1" topLeftCell="H36" activePane="bottomRight" state="frozenSplit"/>
      <selection pane="topRight" activeCell="H1" sqref="H1"/>
      <selection pane="bottomLeft" activeCell="A2" sqref="A2"/>
      <selection pane="bottomRight" activeCell="AG16" sqref="AG16"/>
    </sheetView>
  </sheetViews>
  <sheetFormatPr defaultRowHeight="15" x14ac:dyDescent="0.25"/>
  <cols>
    <col min="1" max="6" width="3" style="463" customWidth="1"/>
    <col min="7" max="7" width="28.5703125" style="463" customWidth="1"/>
    <col min="8" max="8" width="9.28515625" style="464" bestFit="1" customWidth="1"/>
    <col min="9" max="9" width="2.28515625" style="464" customWidth="1"/>
    <col min="10" max="10" width="7.85546875" style="464" bestFit="1" customWidth="1"/>
    <col min="11" max="11" width="2.28515625" style="464" customWidth="1"/>
    <col min="12" max="12" width="7.85546875" style="464" bestFit="1" customWidth="1"/>
    <col min="13" max="13" width="2.28515625" style="464" customWidth="1"/>
    <col min="14" max="14" width="7.85546875" style="464" bestFit="1" customWidth="1"/>
    <col min="15" max="15" width="2.28515625" style="464" customWidth="1"/>
    <col min="16" max="16" width="7.85546875" style="464" bestFit="1" customWidth="1"/>
    <col min="17" max="17" width="2.28515625" style="464" customWidth="1"/>
    <col min="18" max="18" width="7.85546875" style="464" bestFit="1" customWidth="1"/>
    <col min="19" max="19" width="2.28515625" style="464" customWidth="1"/>
    <col min="20" max="20" width="8.42578125" style="464" bestFit="1" customWidth="1"/>
    <col min="21" max="21" width="2.28515625" style="464" customWidth="1"/>
    <col min="22" max="22" width="7.85546875" style="464" bestFit="1" customWidth="1"/>
    <col min="23" max="23" width="2.28515625" style="464" customWidth="1"/>
    <col min="24" max="24" width="7.85546875" style="464" bestFit="1" customWidth="1"/>
    <col min="25" max="25" width="2.28515625" style="464" customWidth="1"/>
    <col min="26" max="26" width="8.42578125" style="464" bestFit="1" customWidth="1"/>
    <col min="27" max="27" width="2.28515625" style="464" customWidth="1"/>
    <col min="28" max="28" width="8.42578125" style="464" bestFit="1" customWidth="1"/>
    <col min="29" max="29" width="2.28515625" style="464" customWidth="1"/>
    <col min="30" max="30" width="7.85546875" style="464" bestFit="1" customWidth="1"/>
    <col min="31" max="31" width="2.28515625" style="464" customWidth="1"/>
    <col min="32" max="32" width="9.28515625" style="464" bestFit="1" customWidth="1"/>
    <col min="33" max="16384" width="9.140625" style="462"/>
  </cols>
  <sheetData>
    <row r="1" spans="1:32" s="466" customFormat="1" ht="15.75" thickBot="1" x14ac:dyDescent="0.3">
      <c r="A1" s="465"/>
      <c r="B1" s="465"/>
      <c r="C1" s="465"/>
      <c r="D1" s="465"/>
      <c r="E1" s="465"/>
      <c r="F1" s="465"/>
      <c r="G1" s="465"/>
      <c r="H1" s="341" t="s">
        <v>188</v>
      </c>
      <c r="I1" s="310"/>
      <c r="J1" s="341" t="s">
        <v>189</v>
      </c>
      <c r="K1" s="310"/>
      <c r="L1" s="341" t="s">
        <v>190</v>
      </c>
      <c r="M1" s="310"/>
      <c r="N1" s="341" t="s">
        <v>191</v>
      </c>
      <c r="O1" s="310"/>
      <c r="P1" s="341" t="s">
        <v>192</v>
      </c>
      <c r="Q1" s="310"/>
      <c r="R1" s="341" t="s">
        <v>193</v>
      </c>
      <c r="S1" s="310"/>
      <c r="T1" s="341" t="s">
        <v>194</v>
      </c>
      <c r="U1" s="310"/>
      <c r="V1" s="341" t="s">
        <v>195</v>
      </c>
      <c r="W1" s="310"/>
      <c r="X1" s="341" t="s">
        <v>196</v>
      </c>
      <c r="Y1" s="310"/>
      <c r="Z1" s="341" t="s">
        <v>197</v>
      </c>
      <c r="AA1" s="310"/>
      <c r="AB1" s="341" t="s">
        <v>502</v>
      </c>
      <c r="AC1" s="310"/>
      <c r="AD1" s="341" t="s">
        <v>508</v>
      </c>
      <c r="AE1" s="310"/>
      <c r="AF1" s="341" t="s">
        <v>156</v>
      </c>
    </row>
    <row r="2" spans="1:32" ht="15.75" thickTop="1" x14ac:dyDescent="0.25">
      <c r="A2" s="485"/>
      <c r="B2" s="485" t="s">
        <v>157</v>
      </c>
      <c r="C2" s="485"/>
      <c r="D2" s="485"/>
      <c r="E2" s="485"/>
      <c r="F2" s="485"/>
      <c r="G2" s="485"/>
      <c r="H2" s="468"/>
      <c r="I2" s="312"/>
      <c r="J2" s="468"/>
      <c r="K2" s="312"/>
      <c r="L2" s="468"/>
      <c r="M2" s="312"/>
      <c r="N2" s="468"/>
      <c r="O2" s="312"/>
      <c r="P2" s="468"/>
      <c r="Q2" s="312"/>
      <c r="R2" s="468"/>
      <c r="S2" s="312"/>
      <c r="T2" s="468"/>
      <c r="U2" s="312"/>
      <c r="V2" s="468"/>
      <c r="W2" s="312"/>
      <c r="X2" s="468"/>
      <c r="Y2" s="312"/>
      <c r="Z2" s="468"/>
      <c r="AA2" s="312"/>
      <c r="AB2" s="468"/>
      <c r="AC2" s="312"/>
      <c r="AD2" s="468"/>
      <c r="AE2" s="312"/>
      <c r="AF2" s="468"/>
    </row>
    <row r="3" spans="1:32" x14ac:dyDescent="0.25">
      <c r="A3" s="485"/>
      <c r="B3" s="485"/>
      <c r="C3" s="485"/>
      <c r="D3" s="485" t="s">
        <v>158</v>
      </c>
      <c r="E3" s="485"/>
      <c r="F3" s="485"/>
      <c r="G3" s="485"/>
      <c r="H3" s="468"/>
      <c r="I3" s="312"/>
      <c r="J3" s="468"/>
      <c r="K3" s="312"/>
      <c r="L3" s="468"/>
      <c r="M3" s="312"/>
      <c r="N3" s="468"/>
      <c r="O3" s="312"/>
      <c r="P3" s="468"/>
      <c r="Q3" s="312"/>
      <c r="R3" s="468"/>
      <c r="S3" s="312"/>
      <c r="T3" s="468"/>
      <c r="U3" s="312"/>
      <c r="V3" s="468"/>
      <c r="W3" s="312"/>
      <c r="X3" s="468"/>
      <c r="Y3" s="312"/>
      <c r="Z3" s="468"/>
      <c r="AA3" s="312"/>
      <c r="AB3" s="468"/>
      <c r="AC3" s="312"/>
      <c r="AD3" s="468"/>
      <c r="AE3" s="312"/>
      <c r="AF3" s="468"/>
    </row>
    <row r="4" spans="1:32" x14ac:dyDescent="0.25">
      <c r="A4" s="485"/>
      <c r="B4" s="485"/>
      <c r="C4" s="485"/>
      <c r="D4" s="485"/>
      <c r="E4" s="485" t="s">
        <v>159</v>
      </c>
      <c r="F4" s="485"/>
      <c r="G4" s="485"/>
      <c r="H4" s="468"/>
      <c r="I4" s="312"/>
      <c r="J4" s="468"/>
      <c r="K4" s="312"/>
      <c r="L4" s="468"/>
      <c r="M4" s="312"/>
      <c r="N4" s="468"/>
      <c r="O4" s="312"/>
      <c r="P4" s="468"/>
      <c r="Q4" s="312"/>
      <c r="R4" s="468"/>
      <c r="S4" s="312"/>
      <c r="T4" s="468"/>
      <c r="U4" s="312"/>
      <c r="V4" s="468"/>
      <c r="W4" s="312"/>
      <c r="X4" s="468"/>
      <c r="Y4" s="312"/>
      <c r="Z4" s="468"/>
      <c r="AA4" s="312"/>
      <c r="AB4" s="468"/>
      <c r="AC4" s="312"/>
      <c r="AD4" s="468"/>
      <c r="AE4" s="312"/>
      <c r="AF4" s="468"/>
    </row>
    <row r="5" spans="1:32" x14ac:dyDescent="0.25">
      <c r="A5" s="485"/>
      <c r="B5" s="485"/>
      <c r="C5" s="485"/>
      <c r="D5" s="485"/>
      <c r="E5" s="485"/>
      <c r="F5" s="485" t="s">
        <v>198</v>
      </c>
      <c r="G5" s="485"/>
      <c r="H5" s="468">
        <v>0</v>
      </c>
      <c r="I5" s="312"/>
      <c r="J5" s="468">
        <v>66328.5</v>
      </c>
      <c r="K5" s="312"/>
      <c r="L5" s="468">
        <v>7402.5</v>
      </c>
      <c r="M5" s="312"/>
      <c r="N5" s="468">
        <v>5092.5</v>
      </c>
      <c r="O5" s="312"/>
      <c r="P5" s="468">
        <v>38853.5</v>
      </c>
      <c r="Q5" s="312"/>
      <c r="R5" s="468">
        <v>0</v>
      </c>
      <c r="S5" s="312"/>
      <c r="T5" s="468">
        <v>847</v>
      </c>
      <c r="U5" s="312"/>
      <c r="V5" s="468">
        <v>40988.5</v>
      </c>
      <c r="W5" s="312"/>
      <c r="X5" s="468">
        <v>32385.5</v>
      </c>
      <c r="Y5" s="312"/>
      <c r="Z5" s="468">
        <v>0</v>
      </c>
      <c r="AA5" s="312"/>
      <c r="AB5" s="468">
        <v>-717.5</v>
      </c>
      <c r="AC5" s="312"/>
      <c r="AD5" s="468">
        <v>0</v>
      </c>
      <c r="AE5" s="312"/>
      <c r="AF5" s="468">
        <f>ROUND(SUM(H5:AD5),5)</f>
        <v>191180.5</v>
      </c>
    </row>
    <row r="6" spans="1:32" x14ac:dyDescent="0.25">
      <c r="A6" s="485"/>
      <c r="B6" s="485"/>
      <c r="C6" s="485"/>
      <c r="D6" s="485"/>
      <c r="E6" s="485"/>
      <c r="F6" s="485" t="s">
        <v>199</v>
      </c>
      <c r="G6" s="485"/>
      <c r="H6" s="468">
        <v>0</v>
      </c>
      <c r="I6" s="312"/>
      <c r="J6" s="468">
        <v>-4089.75</v>
      </c>
      <c r="K6" s="312"/>
      <c r="L6" s="468">
        <v>-501.37</v>
      </c>
      <c r="M6" s="312"/>
      <c r="N6" s="468">
        <v>-3153.5</v>
      </c>
      <c r="O6" s="312"/>
      <c r="P6" s="468">
        <v>-756</v>
      </c>
      <c r="Q6" s="312"/>
      <c r="R6" s="468">
        <v>-191.63</v>
      </c>
      <c r="S6" s="312"/>
      <c r="T6" s="468">
        <v>0</v>
      </c>
      <c r="U6" s="312"/>
      <c r="V6" s="468">
        <v>-603.75</v>
      </c>
      <c r="W6" s="312"/>
      <c r="X6" s="468">
        <v>0</v>
      </c>
      <c r="Y6" s="312"/>
      <c r="Z6" s="468">
        <v>0</v>
      </c>
      <c r="AA6" s="312"/>
      <c r="AB6" s="468">
        <v>-1697.5</v>
      </c>
      <c r="AC6" s="312"/>
      <c r="AD6" s="468">
        <v>-257.75</v>
      </c>
      <c r="AE6" s="312"/>
      <c r="AF6" s="468">
        <f>ROUND(SUM(H6:AD6),5)</f>
        <v>-11251.25</v>
      </c>
    </row>
    <row r="7" spans="1:32" x14ac:dyDescent="0.25">
      <c r="A7" s="485"/>
      <c r="B7" s="485"/>
      <c r="C7" s="485"/>
      <c r="D7" s="485"/>
      <c r="E7" s="485"/>
      <c r="F7" s="485" t="s">
        <v>200</v>
      </c>
      <c r="G7" s="485"/>
      <c r="H7" s="468">
        <v>15</v>
      </c>
      <c r="I7" s="312"/>
      <c r="J7" s="468">
        <v>3800</v>
      </c>
      <c r="K7" s="312"/>
      <c r="L7" s="468">
        <v>1690</v>
      </c>
      <c r="M7" s="312"/>
      <c r="N7" s="468">
        <v>-420</v>
      </c>
      <c r="O7" s="312"/>
      <c r="P7" s="468">
        <v>618.88</v>
      </c>
      <c r="Q7" s="312"/>
      <c r="R7" s="468">
        <v>1000</v>
      </c>
      <c r="S7" s="312"/>
      <c r="T7" s="468">
        <v>240</v>
      </c>
      <c r="U7" s="312"/>
      <c r="V7" s="468">
        <v>977.98</v>
      </c>
      <c r="W7" s="312"/>
      <c r="X7" s="468">
        <v>1015.94</v>
      </c>
      <c r="Y7" s="312"/>
      <c r="Z7" s="468">
        <v>1850.02</v>
      </c>
      <c r="AA7" s="312"/>
      <c r="AB7" s="468">
        <v>10</v>
      </c>
      <c r="AC7" s="312"/>
      <c r="AD7" s="468">
        <v>300</v>
      </c>
      <c r="AE7" s="312"/>
      <c r="AF7" s="468">
        <f>ROUND(SUM(H7:AD7),5)</f>
        <v>11097.82</v>
      </c>
    </row>
    <row r="8" spans="1:32" ht="15.75" thickBot="1" x14ac:dyDescent="0.3">
      <c r="A8" s="485"/>
      <c r="B8" s="485"/>
      <c r="C8" s="485"/>
      <c r="D8" s="485"/>
      <c r="E8" s="485"/>
      <c r="F8" s="485" t="s">
        <v>201</v>
      </c>
      <c r="G8" s="485"/>
      <c r="H8" s="313">
        <v>85</v>
      </c>
      <c r="I8" s="312"/>
      <c r="J8" s="313">
        <v>0</v>
      </c>
      <c r="K8" s="312"/>
      <c r="L8" s="313">
        <v>0</v>
      </c>
      <c r="M8" s="312"/>
      <c r="N8" s="313">
        <v>0</v>
      </c>
      <c r="O8" s="312"/>
      <c r="P8" s="313">
        <v>0</v>
      </c>
      <c r="Q8" s="312"/>
      <c r="R8" s="313">
        <v>0</v>
      </c>
      <c r="S8" s="312"/>
      <c r="T8" s="313">
        <v>0</v>
      </c>
      <c r="U8" s="312"/>
      <c r="V8" s="313">
        <v>0</v>
      </c>
      <c r="W8" s="312"/>
      <c r="X8" s="313">
        <v>0</v>
      </c>
      <c r="Y8" s="312"/>
      <c r="Z8" s="313">
        <v>0</v>
      </c>
      <c r="AA8" s="312"/>
      <c r="AB8" s="313">
        <v>0</v>
      </c>
      <c r="AC8" s="312"/>
      <c r="AD8" s="313">
        <v>0</v>
      </c>
      <c r="AE8" s="312"/>
      <c r="AF8" s="313">
        <f>ROUND(SUM(H8:AD8),5)</f>
        <v>85</v>
      </c>
    </row>
    <row r="9" spans="1:32" x14ac:dyDescent="0.25">
      <c r="A9" s="485"/>
      <c r="B9" s="485"/>
      <c r="C9" s="485"/>
      <c r="D9" s="485"/>
      <c r="E9" s="485" t="s">
        <v>202</v>
      </c>
      <c r="F9" s="485"/>
      <c r="G9" s="485"/>
      <c r="H9" s="468">
        <f>ROUND(SUM(H4:H8),5)</f>
        <v>100</v>
      </c>
      <c r="I9" s="312"/>
      <c r="J9" s="468">
        <f>ROUND(SUM(J4:J8),5)</f>
        <v>66038.75</v>
      </c>
      <c r="K9" s="312"/>
      <c r="L9" s="468">
        <f>ROUND(SUM(L4:L8),5)</f>
        <v>8591.1299999999992</v>
      </c>
      <c r="M9" s="312"/>
      <c r="N9" s="468">
        <f>ROUND(SUM(N4:N8),5)</f>
        <v>1519</v>
      </c>
      <c r="O9" s="312"/>
      <c r="P9" s="468">
        <f>ROUND(SUM(P4:P8),5)</f>
        <v>38716.379999999997</v>
      </c>
      <c r="Q9" s="312"/>
      <c r="R9" s="468">
        <f>ROUND(SUM(R4:R8),5)</f>
        <v>808.37</v>
      </c>
      <c r="S9" s="312"/>
      <c r="T9" s="468">
        <f>ROUND(SUM(T4:T8),5)</f>
        <v>1087</v>
      </c>
      <c r="U9" s="312"/>
      <c r="V9" s="468">
        <f>ROUND(SUM(V4:V8),5)</f>
        <v>41362.730000000003</v>
      </c>
      <c r="W9" s="312"/>
      <c r="X9" s="468">
        <f>ROUND(SUM(X4:X8),5)</f>
        <v>33401.440000000002</v>
      </c>
      <c r="Y9" s="312"/>
      <c r="Z9" s="468">
        <f>ROUND(SUM(Z4:Z8),5)</f>
        <v>1850.02</v>
      </c>
      <c r="AA9" s="312"/>
      <c r="AB9" s="468">
        <f>ROUND(SUM(AB4:AB8),5)</f>
        <v>-2405</v>
      </c>
      <c r="AC9" s="312"/>
      <c r="AD9" s="468">
        <f>ROUND(SUM(AD4:AD8),5)</f>
        <v>42.25</v>
      </c>
      <c r="AE9" s="312"/>
      <c r="AF9" s="468">
        <f>ROUND(SUM(H9:AD9),5)</f>
        <v>191112.07</v>
      </c>
    </row>
    <row r="10" spans="1:32" x14ac:dyDescent="0.25">
      <c r="A10" s="485"/>
      <c r="B10" s="485"/>
      <c r="C10" s="485"/>
      <c r="D10" s="485"/>
      <c r="E10" s="485" t="s">
        <v>160</v>
      </c>
      <c r="F10" s="485"/>
      <c r="G10" s="485"/>
      <c r="H10" s="468"/>
      <c r="I10" s="312"/>
      <c r="J10" s="468"/>
      <c r="K10" s="312"/>
      <c r="L10" s="468"/>
      <c r="M10" s="312"/>
      <c r="N10" s="468"/>
      <c r="O10" s="312"/>
      <c r="P10" s="468"/>
      <c r="Q10" s="312"/>
      <c r="R10" s="468"/>
      <c r="S10" s="312"/>
      <c r="T10" s="468"/>
      <c r="U10" s="312"/>
      <c r="V10" s="468"/>
      <c r="W10" s="312"/>
      <c r="X10" s="468"/>
      <c r="Y10" s="312"/>
      <c r="Z10" s="468"/>
      <c r="AA10" s="312"/>
      <c r="AB10" s="468"/>
      <c r="AC10" s="312"/>
      <c r="AD10" s="468"/>
      <c r="AE10" s="312"/>
      <c r="AF10" s="468"/>
    </row>
    <row r="11" spans="1:32" x14ac:dyDescent="0.25">
      <c r="A11" s="485"/>
      <c r="B11" s="485"/>
      <c r="C11" s="485"/>
      <c r="D11" s="485"/>
      <c r="E11" s="485"/>
      <c r="F11" s="485" t="s">
        <v>203</v>
      </c>
      <c r="G11" s="485"/>
      <c r="H11" s="468">
        <v>1610</v>
      </c>
      <c r="I11" s="312"/>
      <c r="J11" s="468">
        <v>6354</v>
      </c>
      <c r="K11" s="312"/>
      <c r="L11" s="468">
        <v>6459</v>
      </c>
      <c r="M11" s="312"/>
      <c r="N11" s="468">
        <v>5464.53</v>
      </c>
      <c r="O11" s="312"/>
      <c r="P11" s="468">
        <v>12621.18</v>
      </c>
      <c r="Q11" s="312"/>
      <c r="R11" s="468">
        <v>5920.64</v>
      </c>
      <c r="S11" s="312"/>
      <c r="T11" s="468">
        <v>8715.98</v>
      </c>
      <c r="U11" s="312"/>
      <c r="V11" s="468">
        <v>7084.64</v>
      </c>
      <c r="W11" s="312"/>
      <c r="X11" s="468">
        <v>9960.77</v>
      </c>
      <c r="Y11" s="312"/>
      <c r="Z11" s="468">
        <v>5568.92</v>
      </c>
      <c r="AA11" s="312"/>
      <c r="AB11" s="468">
        <v>8201.6299999999992</v>
      </c>
      <c r="AC11" s="312"/>
      <c r="AD11" s="468">
        <v>5212.2299999999996</v>
      </c>
      <c r="AE11" s="312"/>
      <c r="AF11" s="468">
        <f t="shared" ref="AF11:AF17" si="0">ROUND(SUM(H11:AD11),5)</f>
        <v>83173.52</v>
      </c>
    </row>
    <row r="12" spans="1:32" x14ac:dyDescent="0.25">
      <c r="A12" s="485"/>
      <c r="B12" s="485"/>
      <c r="C12" s="485"/>
      <c r="D12" s="485"/>
      <c r="E12" s="485"/>
      <c r="F12" s="485" t="s">
        <v>204</v>
      </c>
      <c r="G12" s="485"/>
      <c r="H12" s="468">
        <v>393</v>
      </c>
      <c r="I12" s="312"/>
      <c r="J12" s="468">
        <v>70</v>
      </c>
      <c r="K12" s="312"/>
      <c r="L12" s="468">
        <v>3070</v>
      </c>
      <c r="M12" s="312"/>
      <c r="N12" s="468">
        <v>50</v>
      </c>
      <c r="O12" s="312"/>
      <c r="P12" s="468">
        <v>2780</v>
      </c>
      <c r="Q12" s="312"/>
      <c r="R12" s="468">
        <v>925</v>
      </c>
      <c r="S12" s="312"/>
      <c r="T12" s="468">
        <v>625</v>
      </c>
      <c r="U12" s="312"/>
      <c r="V12" s="468">
        <v>1550</v>
      </c>
      <c r="W12" s="312"/>
      <c r="X12" s="468">
        <v>0</v>
      </c>
      <c r="Y12" s="312"/>
      <c r="Z12" s="468">
        <v>0</v>
      </c>
      <c r="AA12" s="312"/>
      <c r="AB12" s="468">
        <v>0</v>
      </c>
      <c r="AC12" s="312"/>
      <c r="AD12" s="468">
        <v>350</v>
      </c>
      <c r="AE12" s="312"/>
      <c r="AF12" s="468">
        <f t="shared" si="0"/>
        <v>9813</v>
      </c>
    </row>
    <row r="13" spans="1:32" x14ac:dyDescent="0.25">
      <c r="A13" s="485"/>
      <c r="B13" s="485"/>
      <c r="C13" s="485"/>
      <c r="D13" s="485"/>
      <c r="E13" s="485"/>
      <c r="F13" s="485" t="s">
        <v>205</v>
      </c>
      <c r="G13" s="485"/>
      <c r="H13" s="468">
        <v>859.58</v>
      </c>
      <c r="I13" s="312"/>
      <c r="J13" s="468">
        <v>161.1</v>
      </c>
      <c r="K13" s="312"/>
      <c r="L13" s="468">
        <v>118.85</v>
      </c>
      <c r="M13" s="312"/>
      <c r="N13" s="468">
        <v>140.25</v>
      </c>
      <c r="O13" s="312"/>
      <c r="P13" s="468">
        <v>327.04000000000002</v>
      </c>
      <c r="Q13" s="312"/>
      <c r="R13" s="468">
        <v>0</v>
      </c>
      <c r="S13" s="312"/>
      <c r="T13" s="468">
        <v>0</v>
      </c>
      <c r="U13" s="312"/>
      <c r="V13" s="468">
        <v>210.12</v>
      </c>
      <c r="W13" s="312"/>
      <c r="X13" s="468">
        <v>0</v>
      </c>
      <c r="Y13" s="312"/>
      <c r="Z13" s="468">
        <v>5316.63</v>
      </c>
      <c r="AA13" s="312"/>
      <c r="AB13" s="468">
        <v>4762.3999999999996</v>
      </c>
      <c r="AC13" s="312"/>
      <c r="AD13" s="468">
        <v>1292.3900000000001</v>
      </c>
      <c r="AE13" s="312"/>
      <c r="AF13" s="468">
        <f t="shared" si="0"/>
        <v>13188.36</v>
      </c>
    </row>
    <row r="14" spans="1:32" x14ac:dyDescent="0.25">
      <c r="A14" s="485"/>
      <c r="B14" s="485"/>
      <c r="C14" s="485"/>
      <c r="D14" s="485"/>
      <c r="E14" s="485"/>
      <c r="F14" s="485" t="s">
        <v>206</v>
      </c>
      <c r="G14" s="485"/>
      <c r="H14" s="468">
        <v>0</v>
      </c>
      <c r="I14" s="312"/>
      <c r="J14" s="468">
        <v>0</v>
      </c>
      <c r="K14" s="312"/>
      <c r="L14" s="468">
        <v>0</v>
      </c>
      <c r="M14" s="312"/>
      <c r="N14" s="468">
        <v>0</v>
      </c>
      <c r="O14" s="312"/>
      <c r="P14" s="468">
        <v>0</v>
      </c>
      <c r="Q14" s="312"/>
      <c r="R14" s="468">
        <v>17500</v>
      </c>
      <c r="S14" s="312"/>
      <c r="T14" s="468">
        <v>0</v>
      </c>
      <c r="U14" s="312"/>
      <c r="V14" s="468">
        <v>0</v>
      </c>
      <c r="W14" s="312"/>
      <c r="X14" s="468">
        <v>0</v>
      </c>
      <c r="Y14" s="312"/>
      <c r="Z14" s="468">
        <v>-17500</v>
      </c>
      <c r="AA14" s="312"/>
      <c r="AB14" s="468">
        <v>0</v>
      </c>
      <c r="AC14" s="312"/>
      <c r="AD14" s="468">
        <v>0</v>
      </c>
      <c r="AE14" s="312"/>
      <c r="AF14" s="468">
        <f t="shared" si="0"/>
        <v>0</v>
      </c>
    </row>
    <row r="15" spans="1:32" x14ac:dyDescent="0.25">
      <c r="A15" s="485"/>
      <c r="B15" s="485"/>
      <c r="C15" s="485"/>
      <c r="D15" s="485"/>
      <c r="E15" s="485"/>
      <c r="F15" s="485" t="s">
        <v>207</v>
      </c>
      <c r="G15" s="485"/>
      <c r="H15" s="468">
        <v>0</v>
      </c>
      <c r="I15" s="312"/>
      <c r="J15" s="468">
        <v>0</v>
      </c>
      <c r="K15" s="312"/>
      <c r="L15" s="468">
        <v>0</v>
      </c>
      <c r="M15" s="312"/>
      <c r="N15" s="468">
        <v>0</v>
      </c>
      <c r="O15" s="312"/>
      <c r="P15" s="468">
        <v>750</v>
      </c>
      <c r="Q15" s="312"/>
      <c r="R15" s="468">
        <v>0</v>
      </c>
      <c r="S15" s="312"/>
      <c r="T15" s="468">
        <v>0</v>
      </c>
      <c r="U15" s="312"/>
      <c r="V15" s="468">
        <v>0</v>
      </c>
      <c r="W15" s="312"/>
      <c r="X15" s="468">
        <v>0</v>
      </c>
      <c r="Y15" s="312"/>
      <c r="Z15" s="468">
        <v>0</v>
      </c>
      <c r="AA15" s="312"/>
      <c r="AB15" s="468">
        <v>0</v>
      </c>
      <c r="AC15" s="312"/>
      <c r="AD15" s="468">
        <v>0</v>
      </c>
      <c r="AE15" s="312"/>
      <c r="AF15" s="468">
        <f t="shared" si="0"/>
        <v>750</v>
      </c>
    </row>
    <row r="16" spans="1:32" ht="15.75" thickBot="1" x14ac:dyDescent="0.3">
      <c r="A16" s="485"/>
      <c r="B16" s="485"/>
      <c r="C16" s="485"/>
      <c r="D16" s="485"/>
      <c r="E16" s="485"/>
      <c r="F16" s="485" t="s">
        <v>208</v>
      </c>
      <c r="G16" s="485"/>
      <c r="H16" s="313">
        <v>10573.46</v>
      </c>
      <c r="I16" s="312"/>
      <c r="J16" s="313">
        <v>0</v>
      </c>
      <c r="K16" s="312"/>
      <c r="L16" s="313">
        <v>0</v>
      </c>
      <c r="M16" s="312"/>
      <c r="N16" s="313">
        <v>0</v>
      </c>
      <c r="O16" s="312"/>
      <c r="P16" s="313">
        <v>0</v>
      </c>
      <c r="Q16" s="312"/>
      <c r="R16" s="313">
        <v>0</v>
      </c>
      <c r="S16" s="312"/>
      <c r="T16" s="313">
        <v>0</v>
      </c>
      <c r="U16" s="312"/>
      <c r="V16" s="313">
        <v>0</v>
      </c>
      <c r="W16" s="312"/>
      <c r="X16" s="313">
        <v>0</v>
      </c>
      <c r="Y16" s="312"/>
      <c r="Z16" s="313">
        <v>0</v>
      </c>
      <c r="AA16" s="312"/>
      <c r="AB16" s="313">
        <v>0</v>
      </c>
      <c r="AC16" s="312"/>
      <c r="AD16" s="313">
        <v>0</v>
      </c>
      <c r="AE16" s="312"/>
      <c r="AF16" s="313">
        <f t="shared" si="0"/>
        <v>10573.46</v>
      </c>
    </row>
    <row r="17" spans="1:32" x14ac:dyDescent="0.25">
      <c r="A17" s="485"/>
      <c r="B17" s="485"/>
      <c r="C17" s="485"/>
      <c r="D17" s="485"/>
      <c r="E17" s="485" t="s">
        <v>209</v>
      </c>
      <c r="F17" s="485"/>
      <c r="G17" s="485"/>
      <c r="H17" s="468">
        <f>ROUND(SUM(H10:H16),5)</f>
        <v>13436.04</v>
      </c>
      <c r="I17" s="312"/>
      <c r="J17" s="468">
        <f>ROUND(SUM(J10:J16),5)</f>
        <v>6585.1</v>
      </c>
      <c r="K17" s="312"/>
      <c r="L17" s="468">
        <f>ROUND(SUM(L10:L16),5)</f>
        <v>9647.85</v>
      </c>
      <c r="M17" s="312"/>
      <c r="N17" s="468">
        <f>ROUND(SUM(N10:N16),5)</f>
        <v>5654.78</v>
      </c>
      <c r="O17" s="312"/>
      <c r="P17" s="468">
        <f>ROUND(SUM(P10:P16),5)</f>
        <v>16478.22</v>
      </c>
      <c r="Q17" s="312"/>
      <c r="R17" s="468">
        <f>ROUND(SUM(R10:R16),5)</f>
        <v>24345.64</v>
      </c>
      <c r="S17" s="312"/>
      <c r="T17" s="468">
        <f>ROUND(SUM(T10:T16),5)</f>
        <v>9340.98</v>
      </c>
      <c r="U17" s="312"/>
      <c r="V17" s="468">
        <f>ROUND(SUM(V10:V16),5)</f>
        <v>8844.76</v>
      </c>
      <c r="W17" s="312"/>
      <c r="X17" s="468">
        <f>ROUND(SUM(X10:X16),5)</f>
        <v>9960.77</v>
      </c>
      <c r="Y17" s="312"/>
      <c r="Z17" s="468">
        <f>ROUND(SUM(Z10:Z16),5)</f>
        <v>-6614.45</v>
      </c>
      <c r="AA17" s="312"/>
      <c r="AB17" s="468">
        <f>ROUND(SUM(AB10:AB16),5)</f>
        <v>12964.03</v>
      </c>
      <c r="AC17" s="312"/>
      <c r="AD17" s="468">
        <f>ROUND(SUM(AD10:AD16),5)</f>
        <v>6854.62</v>
      </c>
      <c r="AE17" s="312"/>
      <c r="AF17" s="468">
        <f t="shared" si="0"/>
        <v>117498.34</v>
      </c>
    </row>
    <row r="18" spans="1:32" x14ac:dyDescent="0.25">
      <c r="A18" s="485"/>
      <c r="B18" s="485"/>
      <c r="C18" s="485"/>
      <c r="D18" s="485"/>
      <c r="E18" s="485" t="s">
        <v>161</v>
      </c>
      <c r="F18" s="485"/>
      <c r="G18" s="485"/>
      <c r="H18" s="468"/>
      <c r="I18" s="312"/>
      <c r="J18" s="468"/>
      <c r="K18" s="312"/>
      <c r="L18" s="468"/>
      <c r="M18" s="312"/>
      <c r="N18" s="468"/>
      <c r="O18" s="312"/>
      <c r="P18" s="468"/>
      <c r="Q18" s="312"/>
      <c r="R18" s="468"/>
      <c r="S18" s="312"/>
      <c r="T18" s="468"/>
      <c r="U18" s="312"/>
      <c r="V18" s="468"/>
      <c r="W18" s="312"/>
      <c r="X18" s="468"/>
      <c r="Y18" s="312"/>
      <c r="Z18" s="468"/>
      <c r="AA18" s="312"/>
      <c r="AB18" s="468"/>
      <c r="AC18" s="312"/>
      <c r="AD18" s="468"/>
      <c r="AE18" s="312"/>
      <c r="AF18" s="468"/>
    </row>
    <row r="19" spans="1:32" x14ac:dyDescent="0.25">
      <c r="A19" s="485"/>
      <c r="B19" s="485"/>
      <c r="C19" s="485"/>
      <c r="D19" s="485"/>
      <c r="E19" s="485"/>
      <c r="F19" s="485" t="s">
        <v>210</v>
      </c>
      <c r="G19" s="485"/>
      <c r="H19" s="468">
        <v>0</v>
      </c>
      <c r="I19" s="312"/>
      <c r="J19" s="468">
        <v>0</v>
      </c>
      <c r="K19" s="312"/>
      <c r="L19" s="468">
        <v>0</v>
      </c>
      <c r="M19" s="312"/>
      <c r="N19" s="468">
        <v>0</v>
      </c>
      <c r="O19" s="312"/>
      <c r="P19" s="468">
        <v>0</v>
      </c>
      <c r="Q19" s="312"/>
      <c r="R19" s="468">
        <v>0</v>
      </c>
      <c r="S19" s="312"/>
      <c r="T19" s="468">
        <v>0</v>
      </c>
      <c r="U19" s="312"/>
      <c r="V19" s="468">
        <v>0</v>
      </c>
      <c r="W19" s="312"/>
      <c r="X19" s="468">
        <v>10</v>
      </c>
      <c r="Y19" s="312"/>
      <c r="Z19" s="468">
        <v>2.5</v>
      </c>
      <c r="AA19" s="312"/>
      <c r="AB19" s="468">
        <v>0</v>
      </c>
      <c r="AC19" s="312"/>
      <c r="AD19" s="468">
        <v>0</v>
      </c>
      <c r="AE19" s="312"/>
      <c r="AF19" s="468">
        <f t="shared" ref="AF19:AF24" si="1">ROUND(SUM(H19:AD19),5)</f>
        <v>12.5</v>
      </c>
    </row>
    <row r="20" spans="1:32" x14ac:dyDescent="0.25">
      <c r="A20" s="485"/>
      <c r="B20" s="485"/>
      <c r="C20" s="485"/>
      <c r="D20" s="485"/>
      <c r="E20" s="485"/>
      <c r="F20" s="485" t="s">
        <v>211</v>
      </c>
      <c r="G20" s="485"/>
      <c r="H20" s="468">
        <v>2218.12</v>
      </c>
      <c r="I20" s="312"/>
      <c r="J20" s="468">
        <v>25</v>
      </c>
      <c r="K20" s="312"/>
      <c r="L20" s="468">
        <v>55.17</v>
      </c>
      <c r="M20" s="312"/>
      <c r="N20" s="468">
        <v>30</v>
      </c>
      <c r="O20" s="312"/>
      <c r="P20" s="468">
        <v>102.99</v>
      </c>
      <c r="Q20" s="312"/>
      <c r="R20" s="468">
        <v>622.19000000000005</v>
      </c>
      <c r="S20" s="312"/>
      <c r="T20" s="468">
        <v>2729</v>
      </c>
      <c r="U20" s="312"/>
      <c r="V20" s="468">
        <v>0</v>
      </c>
      <c r="W20" s="312"/>
      <c r="X20" s="468">
        <v>126</v>
      </c>
      <c r="Y20" s="312"/>
      <c r="Z20" s="468">
        <v>277.33999999999997</v>
      </c>
      <c r="AA20" s="312"/>
      <c r="AB20" s="468">
        <v>51</v>
      </c>
      <c r="AC20" s="312"/>
      <c r="AD20" s="468">
        <v>280</v>
      </c>
      <c r="AE20" s="312"/>
      <c r="AF20" s="468">
        <f t="shared" si="1"/>
        <v>6516.81</v>
      </c>
    </row>
    <row r="21" spans="1:32" x14ac:dyDescent="0.25">
      <c r="A21" s="485"/>
      <c r="B21" s="485"/>
      <c r="C21" s="485"/>
      <c r="D21" s="485"/>
      <c r="E21" s="485"/>
      <c r="F21" s="485" t="s">
        <v>212</v>
      </c>
      <c r="G21" s="485"/>
      <c r="H21" s="468">
        <v>0</v>
      </c>
      <c r="I21" s="312"/>
      <c r="J21" s="468">
        <v>2.59</v>
      </c>
      <c r="K21" s="312"/>
      <c r="L21" s="468">
        <v>0</v>
      </c>
      <c r="M21" s="312"/>
      <c r="N21" s="468">
        <v>16</v>
      </c>
      <c r="O21" s="312"/>
      <c r="P21" s="468">
        <v>28</v>
      </c>
      <c r="Q21" s="312"/>
      <c r="R21" s="468">
        <v>120</v>
      </c>
      <c r="S21" s="312"/>
      <c r="T21" s="468">
        <v>682</v>
      </c>
      <c r="U21" s="312"/>
      <c r="V21" s="468">
        <v>161.46</v>
      </c>
      <c r="W21" s="312"/>
      <c r="X21" s="468">
        <v>-327.07</v>
      </c>
      <c r="Y21" s="312"/>
      <c r="Z21" s="468">
        <v>-50.46</v>
      </c>
      <c r="AA21" s="312"/>
      <c r="AB21" s="468">
        <v>14</v>
      </c>
      <c r="AC21" s="312"/>
      <c r="AD21" s="468">
        <v>-83.46</v>
      </c>
      <c r="AE21" s="312"/>
      <c r="AF21" s="468">
        <f t="shared" si="1"/>
        <v>563.05999999999995</v>
      </c>
    </row>
    <row r="22" spans="1:32" x14ac:dyDescent="0.25">
      <c r="A22" s="485"/>
      <c r="B22" s="485"/>
      <c r="C22" s="485"/>
      <c r="D22" s="485"/>
      <c r="E22" s="485"/>
      <c r="F22" s="485" t="s">
        <v>213</v>
      </c>
      <c r="G22" s="485"/>
      <c r="H22" s="468">
        <v>0</v>
      </c>
      <c r="I22" s="312"/>
      <c r="J22" s="468">
        <v>0</v>
      </c>
      <c r="K22" s="312"/>
      <c r="L22" s="468">
        <v>0</v>
      </c>
      <c r="M22" s="312"/>
      <c r="N22" s="468">
        <v>0</v>
      </c>
      <c r="O22" s="312"/>
      <c r="P22" s="468">
        <v>0</v>
      </c>
      <c r="Q22" s="312"/>
      <c r="R22" s="468">
        <v>0</v>
      </c>
      <c r="S22" s="312"/>
      <c r="T22" s="468">
        <v>0</v>
      </c>
      <c r="U22" s="312"/>
      <c r="V22" s="468">
        <v>0</v>
      </c>
      <c r="W22" s="312"/>
      <c r="X22" s="468">
        <v>0</v>
      </c>
      <c r="Y22" s="312"/>
      <c r="Z22" s="468">
        <v>7052</v>
      </c>
      <c r="AA22" s="312"/>
      <c r="AB22" s="468">
        <v>63</v>
      </c>
      <c r="AC22" s="312"/>
      <c r="AD22" s="468">
        <v>0</v>
      </c>
      <c r="AE22" s="312"/>
      <c r="AF22" s="468">
        <f t="shared" si="1"/>
        <v>7115</v>
      </c>
    </row>
    <row r="23" spans="1:32" x14ac:dyDescent="0.25">
      <c r="A23" s="485"/>
      <c r="B23" s="485"/>
      <c r="C23" s="485"/>
      <c r="D23" s="485"/>
      <c r="E23" s="485"/>
      <c r="F23" s="485" t="s">
        <v>214</v>
      </c>
      <c r="G23" s="485"/>
      <c r="H23" s="468">
        <v>0</v>
      </c>
      <c r="I23" s="312"/>
      <c r="J23" s="468">
        <v>0</v>
      </c>
      <c r="K23" s="312"/>
      <c r="L23" s="468">
        <v>0</v>
      </c>
      <c r="M23" s="312"/>
      <c r="N23" s="468">
        <v>0</v>
      </c>
      <c r="O23" s="312"/>
      <c r="P23" s="468">
        <v>0</v>
      </c>
      <c r="Q23" s="312"/>
      <c r="R23" s="468">
        <v>0</v>
      </c>
      <c r="S23" s="312"/>
      <c r="T23" s="468">
        <v>0</v>
      </c>
      <c r="U23" s="312"/>
      <c r="V23" s="468">
        <v>1505</v>
      </c>
      <c r="W23" s="312"/>
      <c r="X23" s="468">
        <v>0</v>
      </c>
      <c r="Y23" s="312"/>
      <c r="Z23" s="468">
        <v>0</v>
      </c>
      <c r="AA23" s="312"/>
      <c r="AB23" s="468">
        <v>0</v>
      </c>
      <c r="AC23" s="312"/>
      <c r="AD23" s="468">
        <v>0</v>
      </c>
      <c r="AE23" s="312"/>
      <c r="AF23" s="468">
        <f t="shared" si="1"/>
        <v>1505</v>
      </c>
    </row>
    <row r="24" spans="1:32" x14ac:dyDescent="0.25">
      <c r="A24" s="485"/>
      <c r="B24" s="485"/>
      <c r="C24" s="485"/>
      <c r="D24" s="485"/>
      <c r="E24" s="485"/>
      <c r="F24" s="485" t="s">
        <v>215</v>
      </c>
      <c r="G24" s="485"/>
      <c r="H24" s="468">
        <v>9737</v>
      </c>
      <c r="I24" s="312"/>
      <c r="J24" s="468">
        <v>0</v>
      </c>
      <c r="K24" s="312"/>
      <c r="L24" s="468">
        <v>0</v>
      </c>
      <c r="M24" s="312"/>
      <c r="N24" s="468">
        <v>0</v>
      </c>
      <c r="O24" s="312"/>
      <c r="P24" s="468">
        <v>0</v>
      </c>
      <c r="Q24" s="312"/>
      <c r="R24" s="468">
        <v>0</v>
      </c>
      <c r="S24" s="312"/>
      <c r="T24" s="468">
        <v>0</v>
      </c>
      <c r="U24" s="312"/>
      <c r="V24" s="468">
        <v>0</v>
      </c>
      <c r="W24" s="312"/>
      <c r="X24" s="468">
        <v>0</v>
      </c>
      <c r="Y24" s="312"/>
      <c r="Z24" s="468">
        <v>0</v>
      </c>
      <c r="AA24" s="312"/>
      <c r="AB24" s="468">
        <v>0</v>
      </c>
      <c r="AC24" s="312"/>
      <c r="AD24" s="468">
        <v>0</v>
      </c>
      <c r="AE24" s="312"/>
      <c r="AF24" s="468">
        <f t="shared" si="1"/>
        <v>9737</v>
      </c>
    </row>
    <row r="25" spans="1:32" x14ac:dyDescent="0.25">
      <c r="A25" s="485"/>
      <c r="B25" s="485"/>
      <c r="C25" s="485"/>
      <c r="D25" s="485"/>
      <c r="E25" s="485"/>
      <c r="F25" s="485" t="s">
        <v>216</v>
      </c>
      <c r="G25" s="485"/>
      <c r="H25" s="468"/>
      <c r="I25" s="312"/>
      <c r="J25" s="468"/>
      <c r="K25" s="312"/>
      <c r="L25" s="468"/>
      <c r="M25" s="312"/>
      <c r="N25" s="468"/>
      <c r="O25" s="312"/>
      <c r="P25" s="468"/>
      <c r="Q25" s="312"/>
      <c r="R25" s="468"/>
      <c r="S25" s="312"/>
      <c r="T25" s="468"/>
      <c r="U25" s="312"/>
      <c r="V25" s="468"/>
      <c r="W25" s="312"/>
      <c r="X25" s="468"/>
      <c r="Y25" s="312"/>
      <c r="Z25" s="468"/>
      <c r="AA25" s="312"/>
      <c r="AB25" s="468"/>
      <c r="AC25" s="312"/>
      <c r="AD25" s="468"/>
      <c r="AE25" s="312"/>
      <c r="AF25" s="468"/>
    </row>
    <row r="26" spans="1:32" x14ac:dyDescent="0.25">
      <c r="A26" s="485"/>
      <c r="B26" s="485"/>
      <c r="C26" s="485"/>
      <c r="D26" s="485"/>
      <c r="E26" s="485"/>
      <c r="F26" s="485"/>
      <c r="G26" s="485" t="s">
        <v>217</v>
      </c>
      <c r="H26" s="468">
        <v>2523.61</v>
      </c>
      <c r="I26" s="312"/>
      <c r="J26" s="468">
        <v>2496.66</v>
      </c>
      <c r="K26" s="312"/>
      <c r="L26" s="468">
        <v>4950</v>
      </c>
      <c r="M26" s="312"/>
      <c r="N26" s="468">
        <v>4898.6099999999997</v>
      </c>
      <c r="O26" s="312"/>
      <c r="P26" s="468">
        <v>2648.45</v>
      </c>
      <c r="Q26" s="312"/>
      <c r="R26" s="468">
        <v>1200</v>
      </c>
      <c r="S26" s="312"/>
      <c r="T26" s="468">
        <v>0</v>
      </c>
      <c r="U26" s="312"/>
      <c r="V26" s="468">
        <v>0</v>
      </c>
      <c r="W26" s="312"/>
      <c r="X26" s="468">
        <v>0</v>
      </c>
      <c r="Y26" s="312"/>
      <c r="Z26" s="468">
        <v>0</v>
      </c>
      <c r="AA26" s="312"/>
      <c r="AB26" s="468">
        <v>-195.89</v>
      </c>
      <c r="AC26" s="312"/>
      <c r="AD26" s="468">
        <v>0</v>
      </c>
      <c r="AE26" s="312"/>
      <c r="AF26" s="468">
        <f t="shared" ref="AF26:AF33" si="2">ROUND(SUM(H26:AD26),5)</f>
        <v>18521.439999999999</v>
      </c>
    </row>
    <row r="27" spans="1:32" x14ac:dyDescent="0.25">
      <c r="A27" s="485"/>
      <c r="B27" s="485"/>
      <c r="C27" s="485"/>
      <c r="D27" s="485"/>
      <c r="E27" s="485"/>
      <c r="F27" s="485"/>
      <c r="G27" s="485" t="s">
        <v>218</v>
      </c>
      <c r="H27" s="468">
        <v>6450</v>
      </c>
      <c r="I27" s="312"/>
      <c r="J27" s="468">
        <v>8185</v>
      </c>
      <c r="K27" s="312"/>
      <c r="L27" s="468">
        <v>10525</v>
      </c>
      <c r="M27" s="312"/>
      <c r="N27" s="468">
        <v>15450</v>
      </c>
      <c r="O27" s="312"/>
      <c r="P27" s="468">
        <v>14180</v>
      </c>
      <c r="Q27" s="312"/>
      <c r="R27" s="468">
        <v>7950</v>
      </c>
      <c r="S27" s="312"/>
      <c r="T27" s="468">
        <v>2650</v>
      </c>
      <c r="U27" s="312"/>
      <c r="V27" s="468">
        <v>1800</v>
      </c>
      <c r="W27" s="312"/>
      <c r="X27" s="468">
        <v>2750</v>
      </c>
      <c r="Y27" s="312"/>
      <c r="Z27" s="468">
        <v>3400</v>
      </c>
      <c r="AA27" s="312"/>
      <c r="AB27" s="468">
        <v>13200</v>
      </c>
      <c r="AC27" s="312"/>
      <c r="AD27" s="468">
        <v>7420</v>
      </c>
      <c r="AE27" s="312"/>
      <c r="AF27" s="468">
        <f t="shared" si="2"/>
        <v>93960</v>
      </c>
    </row>
    <row r="28" spans="1:32" ht="15.75" thickBot="1" x14ac:dyDescent="0.3">
      <c r="A28" s="485"/>
      <c r="B28" s="485"/>
      <c r="C28" s="485"/>
      <c r="D28" s="485"/>
      <c r="E28" s="485"/>
      <c r="F28" s="485"/>
      <c r="G28" s="485" t="s">
        <v>219</v>
      </c>
      <c r="H28" s="467">
        <v>800</v>
      </c>
      <c r="I28" s="312"/>
      <c r="J28" s="467">
        <v>800</v>
      </c>
      <c r="K28" s="312"/>
      <c r="L28" s="467">
        <v>1200</v>
      </c>
      <c r="M28" s="312"/>
      <c r="N28" s="467">
        <v>600</v>
      </c>
      <c r="O28" s="312"/>
      <c r="P28" s="467">
        <v>1600</v>
      </c>
      <c r="Q28" s="312"/>
      <c r="R28" s="467">
        <v>1400</v>
      </c>
      <c r="S28" s="312"/>
      <c r="T28" s="467">
        <v>400</v>
      </c>
      <c r="U28" s="312"/>
      <c r="V28" s="467">
        <v>600</v>
      </c>
      <c r="W28" s="312"/>
      <c r="X28" s="467">
        <v>0</v>
      </c>
      <c r="Y28" s="312"/>
      <c r="Z28" s="467">
        <v>600</v>
      </c>
      <c r="AA28" s="312"/>
      <c r="AB28" s="467">
        <v>800</v>
      </c>
      <c r="AC28" s="312"/>
      <c r="AD28" s="467">
        <v>400</v>
      </c>
      <c r="AE28" s="312"/>
      <c r="AF28" s="467">
        <f t="shared" si="2"/>
        <v>9200</v>
      </c>
    </row>
    <row r="29" spans="1:32" ht="15.75" thickBot="1" x14ac:dyDescent="0.3">
      <c r="A29" s="485"/>
      <c r="B29" s="485"/>
      <c r="C29" s="485"/>
      <c r="D29" s="485"/>
      <c r="E29" s="485"/>
      <c r="F29" s="485" t="s">
        <v>220</v>
      </c>
      <c r="G29" s="485"/>
      <c r="H29" s="314">
        <f>ROUND(SUM(H25:H28),5)</f>
        <v>9773.61</v>
      </c>
      <c r="I29" s="312"/>
      <c r="J29" s="314">
        <f>ROUND(SUM(J25:J28),5)</f>
        <v>11481.66</v>
      </c>
      <c r="K29" s="312"/>
      <c r="L29" s="314">
        <f>ROUND(SUM(L25:L28),5)</f>
        <v>16675</v>
      </c>
      <c r="M29" s="312"/>
      <c r="N29" s="314">
        <f>ROUND(SUM(N25:N28),5)</f>
        <v>20948.61</v>
      </c>
      <c r="O29" s="312"/>
      <c r="P29" s="314">
        <f>ROUND(SUM(P25:P28),5)</f>
        <v>18428.45</v>
      </c>
      <c r="Q29" s="312"/>
      <c r="R29" s="314">
        <f>ROUND(SUM(R25:R28),5)</f>
        <v>10550</v>
      </c>
      <c r="S29" s="312"/>
      <c r="T29" s="314">
        <f>ROUND(SUM(T25:T28),5)</f>
        <v>3050</v>
      </c>
      <c r="U29" s="312"/>
      <c r="V29" s="314">
        <f>ROUND(SUM(V25:V28),5)</f>
        <v>2400</v>
      </c>
      <c r="W29" s="312"/>
      <c r="X29" s="314">
        <f>ROUND(SUM(X25:X28),5)</f>
        <v>2750</v>
      </c>
      <c r="Y29" s="312"/>
      <c r="Z29" s="314">
        <f>ROUND(SUM(Z25:Z28),5)</f>
        <v>4000</v>
      </c>
      <c r="AA29" s="312"/>
      <c r="AB29" s="314">
        <f>ROUND(SUM(AB25:AB28),5)</f>
        <v>13804.11</v>
      </c>
      <c r="AC29" s="312"/>
      <c r="AD29" s="314">
        <f>ROUND(SUM(AD25:AD28),5)</f>
        <v>7820</v>
      </c>
      <c r="AE29" s="312"/>
      <c r="AF29" s="314">
        <f t="shared" si="2"/>
        <v>121681.44</v>
      </c>
    </row>
    <row r="30" spans="1:32" x14ac:dyDescent="0.25">
      <c r="A30" s="485"/>
      <c r="B30" s="485"/>
      <c r="C30" s="485"/>
      <c r="D30" s="485"/>
      <c r="E30" s="485" t="s">
        <v>221</v>
      </c>
      <c r="F30" s="485"/>
      <c r="G30" s="485"/>
      <c r="H30" s="468">
        <f>ROUND(SUM(H18:H24)+H29,5)</f>
        <v>21728.73</v>
      </c>
      <c r="I30" s="312"/>
      <c r="J30" s="468">
        <f>ROUND(SUM(J18:J24)+J29,5)</f>
        <v>11509.25</v>
      </c>
      <c r="K30" s="312"/>
      <c r="L30" s="468">
        <f>ROUND(SUM(L18:L24)+L29,5)</f>
        <v>16730.169999999998</v>
      </c>
      <c r="M30" s="312"/>
      <c r="N30" s="468">
        <f>ROUND(SUM(N18:N24)+N29,5)</f>
        <v>20994.61</v>
      </c>
      <c r="O30" s="312"/>
      <c r="P30" s="468">
        <f>ROUND(SUM(P18:P24)+P29,5)</f>
        <v>18559.439999999999</v>
      </c>
      <c r="Q30" s="312"/>
      <c r="R30" s="468">
        <f>ROUND(SUM(R18:R24)+R29,5)</f>
        <v>11292.19</v>
      </c>
      <c r="S30" s="312"/>
      <c r="T30" s="468">
        <f>ROUND(SUM(T18:T24)+T29,5)</f>
        <v>6461</v>
      </c>
      <c r="U30" s="312"/>
      <c r="V30" s="468">
        <f>ROUND(SUM(V18:V24)+V29,5)</f>
        <v>4066.46</v>
      </c>
      <c r="W30" s="312"/>
      <c r="X30" s="468">
        <f>ROUND(SUM(X18:X24)+X29,5)</f>
        <v>2558.9299999999998</v>
      </c>
      <c r="Y30" s="312"/>
      <c r="Z30" s="468">
        <f>ROUND(SUM(Z18:Z24)+Z29,5)</f>
        <v>11281.38</v>
      </c>
      <c r="AA30" s="312"/>
      <c r="AB30" s="468">
        <f>ROUND(SUM(AB18:AB24)+AB29,5)</f>
        <v>13932.11</v>
      </c>
      <c r="AC30" s="312"/>
      <c r="AD30" s="468">
        <f>ROUND(SUM(AD18:AD24)+AD29,5)</f>
        <v>8016.54</v>
      </c>
      <c r="AE30" s="312"/>
      <c r="AF30" s="468">
        <f t="shared" si="2"/>
        <v>147130.81</v>
      </c>
    </row>
    <row r="31" spans="1:32" x14ac:dyDescent="0.25">
      <c r="A31" s="485"/>
      <c r="B31" s="485"/>
      <c r="C31" s="485"/>
      <c r="D31" s="485"/>
      <c r="E31" s="485" t="s">
        <v>162</v>
      </c>
      <c r="F31" s="485"/>
      <c r="G31" s="485"/>
      <c r="H31" s="468">
        <v>175</v>
      </c>
      <c r="I31" s="312"/>
      <c r="J31" s="468">
        <v>175</v>
      </c>
      <c r="K31" s="312"/>
      <c r="L31" s="468">
        <v>175</v>
      </c>
      <c r="M31" s="312"/>
      <c r="N31" s="468">
        <v>175</v>
      </c>
      <c r="O31" s="312"/>
      <c r="P31" s="468">
        <v>175</v>
      </c>
      <c r="Q31" s="312"/>
      <c r="R31" s="468">
        <v>175</v>
      </c>
      <c r="S31" s="312"/>
      <c r="T31" s="468">
        <v>-175</v>
      </c>
      <c r="U31" s="312"/>
      <c r="V31" s="468">
        <v>175</v>
      </c>
      <c r="W31" s="312"/>
      <c r="X31" s="468">
        <v>175</v>
      </c>
      <c r="Y31" s="312"/>
      <c r="Z31" s="468">
        <v>175</v>
      </c>
      <c r="AA31" s="312"/>
      <c r="AB31" s="468">
        <v>175</v>
      </c>
      <c r="AC31" s="312"/>
      <c r="AD31" s="468">
        <v>175</v>
      </c>
      <c r="AE31" s="312"/>
      <c r="AF31" s="468">
        <f t="shared" si="2"/>
        <v>1750</v>
      </c>
    </row>
    <row r="32" spans="1:32" ht="15.75" thickBot="1" x14ac:dyDescent="0.3">
      <c r="A32" s="485"/>
      <c r="B32" s="485"/>
      <c r="C32" s="485"/>
      <c r="D32" s="485"/>
      <c r="E32" s="485" t="s">
        <v>163</v>
      </c>
      <c r="F32" s="485"/>
      <c r="G32" s="485"/>
      <c r="H32" s="313">
        <v>64.209999999999994</v>
      </c>
      <c r="I32" s="312"/>
      <c r="J32" s="313">
        <v>81.900000000000006</v>
      </c>
      <c r="K32" s="312"/>
      <c r="L32" s="313">
        <v>102.22</v>
      </c>
      <c r="M32" s="312"/>
      <c r="N32" s="313">
        <v>82.25</v>
      </c>
      <c r="O32" s="312"/>
      <c r="P32" s="313">
        <v>102.58</v>
      </c>
      <c r="Q32" s="312"/>
      <c r="R32" s="313">
        <v>87.87</v>
      </c>
      <c r="S32" s="312"/>
      <c r="T32" s="313">
        <v>97.15</v>
      </c>
      <c r="U32" s="312"/>
      <c r="V32" s="313">
        <v>94.3</v>
      </c>
      <c r="W32" s="312"/>
      <c r="X32" s="313">
        <v>31.97</v>
      </c>
      <c r="Y32" s="312"/>
      <c r="Z32" s="313">
        <v>141.9</v>
      </c>
      <c r="AA32" s="312"/>
      <c r="AB32" s="313">
        <v>81.17</v>
      </c>
      <c r="AC32" s="312"/>
      <c r="AD32" s="313">
        <v>78.599999999999994</v>
      </c>
      <c r="AE32" s="312"/>
      <c r="AF32" s="313">
        <f t="shared" si="2"/>
        <v>1046.1199999999999</v>
      </c>
    </row>
    <row r="33" spans="1:32" x14ac:dyDescent="0.25">
      <c r="A33" s="485"/>
      <c r="B33" s="485"/>
      <c r="C33" s="485"/>
      <c r="D33" s="485" t="s">
        <v>9</v>
      </c>
      <c r="E33" s="485"/>
      <c r="F33" s="485"/>
      <c r="G33" s="485"/>
      <c r="H33" s="468">
        <f>ROUND(H3+H9+H17+SUM(H30:H32),5)</f>
        <v>35503.980000000003</v>
      </c>
      <c r="I33" s="312"/>
      <c r="J33" s="468">
        <f>ROUND(J3+J9+J17+SUM(J30:J32),5)</f>
        <v>84390</v>
      </c>
      <c r="K33" s="312"/>
      <c r="L33" s="468">
        <f>ROUND(L3+L9+L17+SUM(L30:L32),5)</f>
        <v>35246.370000000003</v>
      </c>
      <c r="M33" s="312"/>
      <c r="N33" s="468">
        <f>ROUND(N3+N9+N17+SUM(N30:N32),5)</f>
        <v>28425.64</v>
      </c>
      <c r="O33" s="312"/>
      <c r="P33" s="468">
        <f>ROUND(P3+P9+P17+SUM(P30:P32),5)</f>
        <v>74031.62</v>
      </c>
      <c r="Q33" s="312"/>
      <c r="R33" s="468">
        <f>ROUND(R3+R9+R17+SUM(R30:R32),5)</f>
        <v>36709.07</v>
      </c>
      <c r="S33" s="312"/>
      <c r="T33" s="468">
        <f>ROUND(T3+T9+T17+SUM(T30:T32),5)</f>
        <v>16811.13</v>
      </c>
      <c r="U33" s="312"/>
      <c r="V33" s="468">
        <f>ROUND(V3+V9+V17+SUM(V30:V32),5)</f>
        <v>54543.25</v>
      </c>
      <c r="W33" s="312"/>
      <c r="X33" s="468">
        <f>ROUND(X3+X9+X17+SUM(X30:X32),5)</f>
        <v>46128.11</v>
      </c>
      <c r="Y33" s="312"/>
      <c r="Z33" s="468">
        <f>ROUND(Z3+Z9+Z17+SUM(Z30:Z32),5)</f>
        <v>6833.85</v>
      </c>
      <c r="AA33" s="312"/>
      <c r="AB33" s="468">
        <f>ROUND(AB3+AB9+AB17+SUM(AB30:AB32),5)</f>
        <v>24747.31</v>
      </c>
      <c r="AC33" s="312"/>
      <c r="AD33" s="468">
        <f>ROUND(AD3+AD9+AD17+SUM(AD30:AD32),5)</f>
        <v>15167.01</v>
      </c>
      <c r="AE33" s="312"/>
      <c r="AF33" s="468">
        <f t="shared" si="2"/>
        <v>458537.34</v>
      </c>
    </row>
    <row r="34" spans="1:32" x14ac:dyDescent="0.25">
      <c r="A34" s="485"/>
      <c r="B34" s="485"/>
      <c r="C34" s="485"/>
      <c r="D34" s="485" t="s">
        <v>164</v>
      </c>
      <c r="E34" s="485"/>
      <c r="F34" s="485"/>
      <c r="G34" s="485"/>
      <c r="H34" s="468"/>
      <c r="I34" s="312"/>
      <c r="J34" s="468"/>
      <c r="K34" s="312"/>
      <c r="L34" s="468"/>
      <c r="M34" s="312"/>
      <c r="N34" s="468"/>
      <c r="O34" s="312"/>
      <c r="P34" s="468"/>
      <c r="Q34" s="312"/>
      <c r="R34" s="468"/>
      <c r="S34" s="312"/>
      <c r="T34" s="468"/>
      <c r="U34" s="312"/>
      <c r="V34" s="468"/>
      <c r="W34" s="312"/>
      <c r="X34" s="468"/>
      <c r="Y34" s="312"/>
      <c r="Z34" s="468"/>
      <c r="AA34" s="312"/>
      <c r="AB34" s="468"/>
      <c r="AC34" s="312"/>
      <c r="AD34" s="468"/>
      <c r="AE34" s="312"/>
      <c r="AF34" s="468"/>
    </row>
    <row r="35" spans="1:32" ht="15.75" thickBot="1" x14ac:dyDescent="0.3">
      <c r="A35" s="485"/>
      <c r="B35" s="485"/>
      <c r="C35" s="485"/>
      <c r="D35" s="485"/>
      <c r="E35" s="485" t="s">
        <v>165</v>
      </c>
      <c r="F35" s="485"/>
      <c r="G35" s="485"/>
      <c r="H35" s="467">
        <v>1263.25</v>
      </c>
      <c r="I35" s="312"/>
      <c r="J35" s="467">
        <v>5.64</v>
      </c>
      <c r="K35" s="312"/>
      <c r="L35" s="467">
        <v>11.27</v>
      </c>
      <c r="M35" s="312"/>
      <c r="N35" s="467">
        <v>18</v>
      </c>
      <c r="O35" s="312"/>
      <c r="P35" s="467">
        <v>48.03</v>
      </c>
      <c r="Q35" s="312"/>
      <c r="R35" s="467">
        <v>192.42</v>
      </c>
      <c r="S35" s="312"/>
      <c r="T35" s="467">
        <v>23.65</v>
      </c>
      <c r="U35" s="312"/>
      <c r="V35" s="467">
        <v>0</v>
      </c>
      <c r="W35" s="312"/>
      <c r="X35" s="467">
        <v>23.96</v>
      </c>
      <c r="Y35" s="312"/>
      <c r="Z35" s="467">
        <v>8.11</v>
      </c>
      <c r="AA35" s="312"/>
      <c r="AB35" s="467">
        <v>9.33</v>
      </c>
      <c r="AC35" s="312"/>
      <c r="AD35" s="467">
        <v>0</v>
      </c>
      <c r="AE35" s="312"/>
      <c r="AF35" s="467">
        <f>ROUND(SUM(H35:AD35),5)</f>
        <v>1603.66</v>
      </c>
    </row>
    <row r="36" spans="1:32" ht="15.75" thickBot="1" x14ac:dyDescent="0.3">
      <c r="A36" s="485"/>
      <c r="B36" s="485"/>
      <c r="C36" s="485"/>
      <c r="D36" s="485" t="s">
        <v>166</v>
      </c>
      <c r="E36" s="485"/>
      <c r="F36" s="485"/>
      <c r="G36" s="485"/>
      <c r="H36" s="314">
        <f>ROUND(SUM(H34:H35),5)</f>
        <v>1263.25</v>
      </c>
      <c r="I36" s="312"/>
      <c r="J36" s="314">
        <f>ROUND(SUM(J34:J35),5)</f>
        <v>5.64</v>
      </c>
      <c r="K36" s="312"/>
      <c r="L36" s="314">
        <f>ROUND(SUM(L34:L35),5)</f>
        <v>11.27</v>
      </c>
      <c r="M36" s="312"/>
      <c r="N36" s="314">
        <f>ROUND(SUM(N34:N35),5)</f>
        <v>18</v>
      </c>
      <c r="O36" s="312"/>
      <c r="P36" s="314">
        <f>ROUND(SUM(P34:P35),5)</f>
        <v>48.03</v>
      </c>
      <c r="Q36" s="312"/>
      <c r="R36" s="314">
        <f>ROUND(SUM(R34:R35),5)</f>
        <v>192.42</v>
      </c>
      <c r="S36" s="312"/>
      <c r="T36" s="314">
        <f>ROUND(SUM(T34:T35),5)</f>
        <v>23.65</v>
      </c>
      <c r="U36" s="312"/>
      <c r="V36" s="314">
        <f>ROUND(SUM(V34:V35),5)</f>
        <v>0</v>
      </c>
      <c r="W36" s="312"/>
      <c r="X36" s="314">
        <f>ROUND(SUM(X34:X35),5)</f>
        <v>23.96</v>
      </c>
      <c r="Y36" s="312"/>
      <c r="Z36" s="314">
        <f>ROUND(SUM(Z34:Z35),5)</f>
        <v>8.11</v>
      </c>
      <c r="AA36" s="312"/>
      <c r="AB36" s="314">
        <f>ROUND(SUM(AB34:AB35),5)</f>
        <v>9.33</v>
      </c>
      <c r="AC36" s="312"/>
      <c r="AD36" s="314">
        <f>ROUND(SUM(AD34:AD35),5)</f>
        <v>0</v>
      </c>
      <c r="AE36" s="312"/>
      <c r="AF36" s="314">
        <f>ROUND(SUM(H36:AD36),5)</f>
        <v>1603.66</v>
      </c>
    </row>
    <row r="37" spans="1:32" x14ac:dyDescent="0.25">
      <c r="A37" s="485"/>
      <c r="B37" s="485"/>
      <c r="C37" s="485" t="s">
        <v>167</v>
      </c>
      <c r="D37" s="485"/>
      <c r="E37" s="485"/>
      <c r="F37" s="485"/>
      <c r="G37" s="485"/>
      <c r="H37" s="468">
        <f>ROUND(H33-H36,5)</f>
        <v>34240.730000000003</v>
      </c>
      <c r="I37" s="312"/>
      <c r="J37" s="468">
        <f>ROUND(J33-J36,5)</f>
        <v>84384.36</v>
      </c>
      <c r="K37" s="312"/>
      <c r="L37" s="468">
        <f>ROUND(L33-L36,5)</f>
        <v>35235.1</v>
      </c>
      <c r="M37" s="312"/>
      <c r="N37" s="468">
        <f>ROUND(N33-N36,5)</f>
        <v>28407.64</v>
      </c>
      <c r="O37" s="312"/>
      <c r="P37" s="468">
        <f>ROUND(P33-P36,5)</f>
        <v>73983.59</v>
      </c>
      <c r="Q37" s="312"/>
      <c r="R37" s="468">
        <f>ROUND(R33-R36,5)</f>
        <v>36516.65</v>
      </c>
      <c r="S37" s="312"/>
      <c r="T37" s="468">
        <f>ROUND(T33-T36,5)</f>
        <v>16787.48</v>
      </c>
      <c r="U37" s="312"/>
      <c r="V37" s="468">
        <f>ROUND(V33-V36,5)</f>
        <v>54543.25</v>
      </c>
      <c r="W37" s="312"/>
      <c r="X37" s="468">
        <f>ROUND(X33-X36,5)</f>
        <v>46104.15</v>
      </c>
      <c r="Y37" s="312"/>
      <c r="Z37" s="468">
        <f>ROUND(Z33-Z36,5)</f>
        <v>6825.74</v>
      </c>
      <c r="AA37" s="312"/>
      <c r="AB37" s="468">
        <f>ROUND(AB33-AB36,5)</f>
        <v>24737.98</v>
      </c>
      <c r="AC37" s="312"/>
      <c r="AD37" s="468">
        <f>ROUND(AD33-AD36,5)</f>
        <v>15167.01</v>
      </c>
      <c r="AE37" s="312"/>
      <c r="AF37" s="468">
        <f>ROUND(SUM(H37:AD37),5)</f>
        <v>456933.68</v>
      </c>
    </row>
    <row r="38" spans="1:32" x14ac:dyDescent="0.25">
      <c r="A38" s="485"/>
      <c r="B38" s="485"/>
      <c r="C38" s="485"/>
      <c r="D38" s="485" t="s">
        <v>168</v>
      </c>
      <c r="E38" s="485"/>
      <c r="F38" s="485"/>
      <c r="G38" s="485"/>
      <c r="H38" s="468"/>
      <c r="I38" s="312"/>
      <c r="J38" s="468"/>
      <c r="K38" s="312"/>
      <c r="L38" s="468"/>
      <c r="M38" s="312"/>
      <c r="N38" s="468"/>
      <c r="O38" s="312"/>
      <c r="P38" s="468"/>
      <c r="Q38" s="312"/>
      <c r="R38" s="468"/>
      <c r="S38" s="312"/>
      <c r="T38" s="468"/>
      <c r="U38" s="312"/>
      <c r="V38" s="468"/>
      <c r="W38" s="312"/>
      <c r="X38" s="468"/>
      <c r="Y38" s="312"/>
      <c r="Z38" s="468"/>
      <c r="AA38" s="312"/>
      <c r="AB38" s="468"/>
      <c r="AC38" s="312"/>
      <c r="AD38" s="468"/>
      <c r="AE38" s="312"/>
      <c r="AF38" s="468"/>
    </row>
    <row r="39" spans="1:32" x14ac:dyDescent="0.25">
      <c r="A39" s="485"/>
      <c r="B39" s="485"/>
      <c r="C39" s="485"/>
      <c r="D39" s="485"/>
      <c r="E39" s="485" t="s">
        <v>169</v>
      </c>
      <c r="F39" s="485"/>
      <c r="G39" s="485"/>
      <c r="H39" s="468">
        <v>15887</v>
      </c>
      <c r="I39" s="312"/>
      <c r="J39" s="468">
        <v>14499.08</v>
      </c>
      <c r="K39" s="312"/>
      <c r="L39" s="468">
        <v>16601.95</v>
      </c>
      <c r="M39" s="312"/>
      <c r="N39" s="468">
        <v>18402.14</v>
      </c>
      <c r="O39" s="312"/>
      <c r="P39" s="468">
        <v>20185.66</v>
      </c>
      <c r="Q39" s="312"/>
      <c r="R39" s="468">
        <v>22978.04</v>
      </c>
      <c r="S39" s="312"/>
      <c r="T39" s="468">
        <v>26011.55</v>
      </c>
      <c r="U39" s="312"/>
      <c r="V39" s="468">
        <v>31463.94</v>
      </c>
      <c r="W39" s="312"/>
      <c r="X39" s="468">
        <v>29916.86</v>
      </c>
      <c r="Y39" s="312"/>
      <c r="Z39" s="468">
        <v>33811.61</v>
      </c>
      <c r="AA39" s="312"/>
      <c r="AB39" s="468">
        <v>23151.59</v>
      </c>
      <c r="AC39" s="312"/>
      <c r="AD39" s="468">
        <v>17473.150000000001</v>
      </c>
      <c r="AE39" s="312"/>
      <c r="AF39" s="468">
        <f t="shared" ref="AF39:AF59" si="3">ROUND(SUM(H39:AD39),5)</f>
        <v>270382.57</v>
      </c>
    </row>
    <row r="40" spans="1:32" x14ac:dyDescent="0.25">
      <c r="A40" s="485"/>
      <c r="B40" s="485"/>
      <c r="C40" s="485"/>
      <c r="D40" s="485"/>
      <c r="E40" s="485" t="s">
        <v>170</v>
      </c>
      <c r="F40" s="485"/>
      <c r="G40" s="485"/>
      <c r="H40" s="468">
        <v>1785.25</v>
      </c>
      <c r="I40" s="312"/>
      <c r="J40" s="468">
        <v>1612</v>
      </c>
      <c r="K40" s="312"/>
      <c r="L40" s="468">
        <v>898</v>
      </c>
      <c r="M40" s="312"/>
      <c r="N40" s="468">
        <v>2250</v>
      </c>
      <c r="O40" s="312"/>
      <c r="P40" s="468">
        <v>1928.25</v>
      </c>
      <c r="Q40" s="312"/>
      <c r="R40" s="468">
        <v>1157.5</v>
      </c>
      <c r="S40" s="312"/>
      <c r="T40" s="468">
        <v>1730.75</v>
      </c>
      <c r="U40" s="312"/>
      <c r="V40" s="468">
        <v>1010.5</v>
      </c>
      <c r="W40" s="312"/>
      <c r="X40" s="468">
        <v>0</v>
      </c>
      <c r="Y40" s="312"/>
      <c r="Z40" s="468">
        <v>0</v>
      </c>
      <c r="AA40" s="312"/>
      <c r="AB40" s="468">
        <v>0</v>
      </c>
      <c r="AC40" s="312"/>
      <c r="AD40" s="468">
        <v>0</v>
      </c>
      <c r="AE40" s="312"/>
      <c r="AF40" s="468">
        <f t="shared" si="3"/>
        <v>12372.25</v>
      </c>
    </row>
    <row r="41" spans="1:32" x14ac:dyDescent="0.25">
      <c r="A41" s="485"/>
      <c r="B41" s="485"/>
      <c r="C41" s="485"/>
      <c r="D41" s="485"/>
      <c r="E41" s="485" t="s">
        <v>171</v>
      </c>
      <c r="F41" s="485"/>
      <c r="G41" s="485"/>
      <c r="H41" s="468">
        <v>1263.04</v>
      </c>
      <c r="I41" s="312"/>
      <c r="J41" s="468">
        <v>339.37</v>
      </c>
      <c r="K41" s="312"/>
      <c r="L41" s="468">
        <v>553.13</v>
      </c>
      <c r="M41" s="312"/>
      <c r="N41" s="468">
        <v>406.22</v>
      </c>
      <c r="O41" s="312"/>
      <c r="P41" s="468">
        <v>322.41000000000003</v>
      </c>
      <c r="Q41" s="312"/>
      <c r="R41" s="468">
        <v>469.01</v>
      </c>
      <c r="S41" s="312"/>
      <c r="T41" s="468">
        <v>465.4</v>
      </c>
      <c r="U41" s="312"/>
      <c r="V41" s="468">
        <v>1794.45</v>
      </c>
      <c r="W41" s="312"/>
      <c r="X41" s="468">
        <v>831.98</v>
      </c>
      <c r="Y41" s="312"/>
      <c r="Z41" s="468">
        <v>425.73</v>
      </c>
      <c r="AA41" s="312"/>
      <c r="AB41" s="468">
        <v>531.98</v>
      </c>
      <c r="AC41" s="312"/>
      <c r="AD41" s="468">
        <v>738.49</v>
      </c>
      <c r="AE41" s="312"/>
      <c r="AF41" s="468">
        <f t="shared" si="3"/>
        <v>8141.21</v>
      </c>
    </row>
    <row r="42" spans="1:32" x14ac:dyDescent="0.25">
      <c r="A42" s="485"/>
      <c r="B42" s="485"/>
      <c r="C42" s="485"/>
      <c r="D42" s="485"/>
      <c r="E42" s="485" t="s">
        <v>172</v>
      </c>
      <c r="F42" s="485"/>
      <c r="G42" s="485"/>
      <c r="H42" s="468">
        <v>806</v>
      </c>
      <c r="I42" s="312"/>
      <c r="J42" s="468">
        <v>265</v>
      </c>
      <c r="K42" s="312"/>
      <c r="L42" s="468">
        <v>238</v>
      </c>
      <c r="M42" s="312"/>
      <c r="N42" s="468">
        <v>0</v>
      </c>
      <c r="O42" s="312"/>
      <c r="P42" s="468">
        <v>1223</v>
      </c>
      <c r="Q42" s="312"/>
      <c r="R42" s="468">
        <v>112.5</v>
      </c>
      <c r="S42" s="312"/>
      <c r="T42" s="468">
        <v>0</v>
      </c>
      <c r="U42" s="312"/>
      <c r="V42" s="468">
        <v>0</v>
      </c>
      <c r="W42" s="312"/>
      <c r="X42" s="468">
        <v>0</v>
      </c>
      <c r="Y42" s="312"/>
      <c r="Z42" s="468">
        <v>1395.9</v>
      </c>
      <c r="AA42" s="312"/>
      <c r="AB42" s="468">
        <v>810.29</v>
      </c>
      <c r="AC42" s="312"/>
      <c r="AD42" s="468">
        <v>315</v>
      </c>
      <c r="AE42" s="312"/>
      <c r="AF42" s="468">
        <f t="shared" si="3"/>
        <v>5165.6899999999996</v>
      </c>
    </row>
    <row r="43" spans="1:32" x14ac:dyDescent="0.25">
      <c r="A43" s="485"/>
      <c r="B43" s="485"/>
      <c r="C43" s="485"/>
      <c r="D43" s="485"/>
      <c r="E43" s="485" t="s">
        <v>173</v>
      </c>
      <c r="F43" s="485"/>
      <c r="G43" s="485"/>
      <c r="H43" s="468">
        <v>360.33</v>
      </c>
      <c r="I43" s="312"/>
      <c r="J43" s="468">
        <v>327.04000000000002</v>
      </c>
      <c r="K43" s="312"/>
      <c r="L43" s="468">
        <v>944.59</v>
      </c>
      <c r="M43" s="312"/>
      <c r="N43" s="468">
        <v>194.72</v>
      </c>
      <c r="O43" s="312"/>
      <c r="P43" s="468">
        <v>497.35</v>
      </c>
      <c r="Q43" s="312"/>
      <c r="R43" s="468">
        <v>993.57</v>
      </c>
      <c r="S43" s="312"/>
      <c r="T43" s="468">
        <v>163.58000000000001</v>
      </c>
      <c r="U43" s="312"/>
      <c r="V43" s="468">
        <v>453.58</v>
      </c>
      <c r="W43" s="312"/>
      <c r="X43" s="468">
        <v>324.69</v>
      </c>
      <c r="Y43" s="312"/>
      <c r="Z43" s="468">
        <v>70.28</v>
      </c>
      <c r="AA43" s="312"/>
      <c r="AB43" s="468">
        <v>0</v>
      </c>
      <c r="AC43" s="312"/>
      <c r="AD43" s="468">
        <v>0</v>
      </c>
      <c r="AE43" s="312"/>
      <c r="AF43" s="468">
        <f t="shared" si="3"/>
        <v>4329.7299999999996</v>
      </c>
    </row>
    <row r="44" spans="1:32" x14ac:dyDescent="0.25">
      <c r="A44" s="485"/>
      <c r="B44" s="485"/>
      <c r="C44" s="485"/>
      <c r="D44" s="485"/>
      <c r="E44" s="485" t="s">
        <v>174</v>
      </c>
      <c r="F44" s="485"/>
      <c r="G44" s="485"/>
      <c r="H44" s="468">
        <v>372.03</v>
      </c>
      <c r="I44" s="312"/>
      <c r="J44" s="468">
        <v>332.36</v>
      </c>
      <c r="K44" s="312"/>
      <c r="L44" s="468">
        <v>332.4</v>
      </c>
      <c r="M44" s="312"/>
      <c r="N44" s="468">
        <v>458.2</v>
      </c>
      <c r="O44" s="312"/>
      <c r="P44" s="468">
        <v>333.65</v>
      </c>
      <c r="Q44" s="312"/>
      <c r="R44" s="468">
        <v>334.93</v>
      </c>
      <c r="S44" s="312"/>
      <c r="T44" s="468">
        <v>415.56</v>
      </c>
      <c r="U44" s="312"/>
      <c r="V44" s="468">
        <v>676.65</v>
      </c>
      <c r="W44" s="312"/>
      <c r="X44" s="468">
        <v>100.14</v>
      </c>
      <c r="Y44" s="312"/>
      <c r="Z44" s="468">
        <v>664</v>
      </c>
      <c r="AA44" s="312"/>
      <c r="AB44" s="468">
        <v>292.63</v>
      </c>
      <c r="AC44" s="312"/>
      <c r="AD44" s="468">
        <v>278.8</v>
      </c>
      <c r="AE44" s="312"/>
      <c r="AF44" s="468">
        <f t="shared" si="3"/>
        <v>4591.3500000000004</v>
      </c>
    </row>
    <row r="45" spans="1:32" x14ac:dyDescent="0.25">
      <c r="A45" s="485"/>
      <c r="B45" s="485"/>
      <c r="C45" s="485"/>
      <c r="D45" s="485"/>
      <c r="E45" s="485" t="s">
        <v>175</v>
      </c>
      <c r="F45" s="485"/>
      <c r="G45" s="485"/>
      <c r="H45" s="468">
        <v>362.91</v>
      </c>
      <c r="I45" s="312"/>
      <c r="J45" s="468">
        <v>51.21</v>
      </c>
      <c r="K45" s="312"/>
      <c r="L45" s="468">
        <v>103.95</v>
      </c>
      <c r="M45" s="312"/>
      <c r="N45" s="468">
        <v>62</v>
      </c>
      <c r="O45" s="312"/>
      <c r="P45" s="468">
        <v>125.75</v>
      </c>
      <c r="Q45" s="312"/>
      <c r="R45" s="468">
        <v>293.24</v>
      </c>
      <c r="S45" s="312"/>
      <c r="T45" s="468">
        <v>308.89</v>
      </c>
      <c r="U45" s="312"/>
      <c r="V45" s="468">
        <v>252.07</v>
      </c>
      <c r="W45" s="312"/>
      <c r="X45" s="468">
        <v>195.32</v>
      </c>
      <c r="Y45" s="312"/>
      <c r="Z45" s="468">
        <v>96.1</v>
      </c>
      <c r="AA45" s="312"/>
      <c r="AB45" s="468">
        <v>374.4</v>
      </c>
      <c r="AC45" s="312"/>
      <c r="AD45" s="468">
        <v>17.989999999999998</v>
      </c>
      <c r="AE45" s="312"/>
      <c r="AF45" s="468">
        <f t="shared" si="3"/>
        <v>2243.83</v>
      </c>
    </row>
    <row r="46" spans="1:32" x14ac:dyDescent="0.25">
      <c r="A46" s="485"/>
      <c r="B46" s="485"/>
      <c r="C46" s="485"/>
      <c r="D46" s="485"/>
      <c r="E46" s="485" t="s">
        <v>176</v>
      </c>
      <c r="F46" s="485"/>
      <c r="G46" s="485"/>
      <c r="H46" s="468">
        <v>1046.71</v>
      </c>
      <c r="I46" s="312"/>
      <c r="J46" s="468">
        <v>1148.0999999999999</v>
      </c>
      <c r="K46" s="312"/>
      <c r="L46" s="468">
        <v>1148.0999999999999</v>
      </c>
      <c r="M46" s="312"/>
      <c r="N46" s="468">
        <v>1201.08</v>
      </c>
      <c r="O46" s="312"/>
      <c r="P46" s="468">
        <v>1201.08</v>
      </c>
      <c r="Q46" s="312"/>
      <c r="R46" s="468">
        <v>1201.08</v>
      </c>
      <c r="S46" s="312"/>
      <c r="T46" s="468">
        <v>1201.08</v>
      </c>
      <c r="U46" s="312"/>
      <c r="V46" s="468">
        <v>1330.18</v>
      </c>
      <c r="W46" s="312"/>
      <c r="X46" s="468">
        <v>1418.86</v>
      </c>
      <c r="Y46" s="312"/>
      <c r="Z46" s="468">
        <v>1418.86</v>
      </c>
      <c r="AA46" s="312"/>
      <c r="AB46" s="468">
        <v>1093.6600000000001</v>
      </c>
      <c r="AC46" s="312"/>
      <c r="AD46" s="468">
        <v>1056.83</v>
      </c>
      <c r="AE46" s="312"/>
      <c r="AF46" s="468">
        <f t="shared" si="3"/>
        <v>14465.62</v>
      </c>
    </row>
    <row r="47" spans="1:32" x14ac:dyDescent="0.25">
      <c r="A47" s="485"/>
      <c r="B47" s="485"/>
      <c r="C47" s="485"/>
      <c r="D47" s="485"/>
      <c r="E47" s="485" t="s">
        <v>177</v>
      </c>
      <c r="F47" s="485"/>
      <c r="G47" s="485"/>
      <c r="H47" s="468">
        <v>283.33</v>
      </c>
      <c r="I47" s="312"/>
      <c r="J47" s="468">
        <v>236.25</v>
      </c>
      <c r="K47" s="312"/>
      <c r="L47" s="468">
        <v>236.25</v>
      </c>
      <c r="M47" s="312"/>
      <c r="N47" s="468">
        <v>296.25</v>
      </c>
      <c r="O47" s="312"/>
      <c r="P47" s="468">
        <v>296.25</v>
      </c>
      <c r="Q47" s="312"/>
      <c r="R47" s="468">
        <v>296.25</v>
      </c>
      <c r="S47" s="312"/>
      <c r="T47" s="468">
        <v>236.25</v>
      </c>
      <c r="U47" s="312"/>
      <c r="V47" s="468">
        <v>265.5</v>
      </c>
      <c r="W47" s="312"/>
      <c r="X47" s="468">
        <v>193.22</v>
      </c>
      <c r="Y47" s="312"/>
      <c r="Z47" s="468">
        <v>337.78</v>
      </c>
      <c r="AA47" s="312"/>
      <c r="AB47" s="468">
        <v>207.43</v>
      </c>
      <c r="AC47" s="312"/>
      <c r="AD47" s="468">
        <v>194.2</v>
      </c>
      <c r="AE47" s="312"/>
      <c r="AF47" s="468">
        <f t="shared" si="3"/>
        <v>3078.96</v>
      </c>
    </row>
    <row r="48" spans="1:32" x14ac:dyDescent="0.25">
      <c r="A48" s="485"/>
      <c r="B48" s="485"/>
      <c r="C48" s="485"/>
      <c r="D48" s="485"/>
      <c r="E48" s="485" t="s">
        <v>178</v>
      </c>
      <c r="F48" s="485"/>
      <c r="G48" s="485"/>
      <c r="H48" s="468">
        <v>866.65</v>
      </c>
      <c r="I48" s="312"/>
      <c r="J48" s="468">
        <v>109.17</v>
      </c>
      <c r="K48" s="312"/>
      <c r="L48" s="468">
        <v>0</v>
      </c>
      <c r="M48" s="312"/>
      <c r="N48" s="468">
        <v>144.77000000000001</v>
      </c>
      <c r="O48" s="312"/>
      <c r="P48" s="468">
        <v>109.02</v>
      </c>
      <c r="Q48" s="312"/>
      <c r="R48" s="468">
        <v>13.6</v>
      </c>
      <c r="S48" s="312"/>
      <c r="T48" s="468">
        <v>3736.87</v>
      </c>
      <c r="U48" s="312"/>
      <c r="V48" s="468">
        <v>1150.77</v>
      </c>
      <c r="W48" s="312"/>
      <c r="X48" s="468">
        <v>1880.13</v>
      </c>
      <c r="Y48" s="312"/>
      <c r="Z48" s="468">
        <v>0</v>
      </c>
      <c r="AA48" s="312"/>
      <c r="AB48" s="468">
        <v>3915.83</v>
      </c>
      <c r="AC48" s="312"/>
      <c r="AD48" s="468">
        <v>33.380000000000003</v>
      </c>
      <c r="AE48" s="312"/>
      <c r="AF48" s="468">
        <f t="shared" si="3"/>
        <v>11960.19</v>
      </c>
    </row>
    <row r="49" spans="1:32" x14ac:dyDescent="0.25">
      <c r="A49" s="485"/>
      <c r="B49" s="485"/>
      <c r="C49" s="485"/>
      <c r="D49" s="485"/>
      <c r="E49" s="485" t="s">
        <v>179</v>
      </c>
      <c r="F49" s="485"/>
      <c r="G49" s="485"/>
      <c r="H49" s="468">
        <v>108894.78</v>
      </c>
      <c r="I49" s="312"/>
      <c r="J49" s="468">
        <v>2430.5300000000002</v>
      </c>
      <c r="K49" s="312"/>
      <c r="L49" s="468">
        <v>3334.06</v>
      </c>
      <c r="M49" s="312"/>
      <c r="N49" s="468">
        <v>1107.6099999999999</v>
      </c>
      <c r="O49" s="312"/>
      <c r="P49" s="468">
        <v>2741.53</v>
      </c>
      <c r="Q49" s="312"/>
      <c r="R49" s="468">
        <v>1909.76</v>
      </c>
      <c r="S49" s="312"/>
      <c r="T49" s="468">
        <v>1090.57</v>
      </c>
      <c r="U49" s="312"/>
      <c r="V49" s="468">
        <v>2651.71</v>
      </c>
      <c r="W49" s="312"/>
      <c r="X49" s="468">
        <v>2484.79</v>
      </c>
      <c r="Y49" s="312"/>
      <c r="Z49" s="468">
        <v>-1266.8900000000001</v>
      </c>
      <c r="AA49" s="312"/>
      <c r="AB49" s="468">
        <v>506.84</v>
      </c>
      <c r="AC49" s="312"/>
      <c r="AD49" s="468">
        <v>0</v>
      </c>
      <c r="AE49" s="312"/>
      <c r="AF49" s="468">
        <f t="shared" si="3"/>
        <v>125885.29</v>
      </c>
    </row>
    <row r="50" spans="1:32" x14ac:dyDescent="0.25">
      <c r="A50" s="485"/>
      <c r="B50" s="485"/>
      <c r="C50" s="485"/>
      <c r="D50" s="485"/>
      <c r="E50" s="485" t="s">
        <v>180</v>
      </c>
      <c r="F50" s="485"/>
      <c r="G50" s="485"/>
      <c r="H50" s="468">
        <v>161.85</v>
      </c>
      <c r="I50" s="312"/>
      <c r="J50" s="468">
        <v>0</v>
      </c>
      <c r="K50" s="312"/>
      <c r="L50" s="468">
        <v>0</v>
      </c>
      <c r="M50" s="312"/>
      <c r="N50" s="468">
        <v>0</v>
      </c>
      <c r="O50" s="312"/>
      <c r="P50" s="468">
        <v>0</v>
      </c>
      <c r="Q50" s="312"/>
      <c r="R50" s="468">
        <v>201.66</v>
      </c>
      <c r="S50" s="312"/>
      <c r="T50" s="468">
        <v>0</v>
      </c>
      <c r="U50" s="312"/>
      <c r="V50" s="468">
        <v>498.3</v>
      </c>
      <c r="W50" s="312"/>
      <c r="X50" s="468">
        <v>0</v>
      </c>
      <c r="Y50" s="312"/>
      <c r="Z50" s="468">
        <v>0</v>
      </c>
      <c r="AA50" s="312"/>
      <c r="AB50" s="468">
        <v>0</v>
      </c>
      <c r="AC50" s="312"/>
      <c r="AD50" s="468">
        <v>0</v>
      </c>
      <c r="AE50" s="312"/>
      <c r="AF50" s="468">
        <f t="shared" si="3"/>
        <v>861.81</v>
      </c>
    </row>
    <row r="51" spans="1:32" x14ac:dyDescent="0.25">
      <c r="A51" s="485"/>
      <c r="B51" s="485"/>
      <c r="C51" s="485"/>
      <c r="D51" s="485"/>
      <c r="E51" s="485" t="s">
        <v>222</v>
      </c>
      <c r="F51" s="485"/>
      <c r="G51" s="485"/>
      <c r="H51" s="468">
        <v>6500</v>
      </c>
      <c r="I51" s="312"/>
      <c r="J51" s="468">
        <v>0</v>
      </c>
      <c r="K51" s="312"/>
      <c r="L51" s="468">
        <v>0</v>
      </c>
      <c r="M51" s="312"/>
      <c r="N51" s="468">
        <v>0</v>
      </c>
      <c r="O51" s="312"/>
      <c r="P51" s="468">
        <v>0</v>
      </c>
      <c r="Q51" s="312"/>
      <c r="R51" s="468">
        <v>0</v>
      </c>
      <c r="S51" s="312"/>
      <c r="T51" s="468">
        <v>0</v>
      </c>
      <c r="U51" s="312"/>
      <c r="V51" s="468">
        <v>0</v>
      </c>
      <c r="W51" s="312"/>
      <c r="X51" s="468">
        <v>0</v>
      </c>
      <c r="Y51" s="312"/>
      <c r="Z51" s="468">
        <v>0</v>
      </c>
      <c r="AA51" s="312"/>
      <c r="AB51" s="468">
        <v>0</v>
      </c>
      <c r="AC51" s="312"/>
      <c r="AD51" s="468">
        <v>0</v>
      </c>
      <c r="AE51" s="312"/>
      <c r="AF51" s="468">
        <f t="shared" si="3"/>
        <v>6500</v>
      </c>
    </row>
    <row r="52" spans="1:32" x14ac:dyDescent="0.25">
      <c r="A52" s="485"/>
      <c r="B52" s="485"/>
      <c r="C52" s="485"/>
      <c r="D52" s="485"/>
      <c r="E52" s="485" t="s">
        <v>181</v>
      </c>
      <c r="F52" s="485"/>
      <c r="G52" s="485"/>
      <c r="H52" s="468">
        <v>173.41</v>
      </c>
      <c r="I52" s="312"/>
      <c r="J52" s="468">
        <v>272.89999999999998</v>
      </c>
      <c r="K52" s="312"/>
      <c r="L52" s="468">
        <v>272.89999999999998</v>
      </c>
      <c r="M52" s="312"/>
      <c r="N52" s="468">
        <v>272.89999999999998</v>
      </c>
      <c r="O52" s="312"/>
      <c r="P52" s="468">
        <v>246.9</v>
      </c>
      <c r="Q52" s="312"/>
      <c r="R52" s="468">
        <v>272.89999999999998</v>
      </c>
      <c r="S52" s="312"/>
      <c r="T52" s="468">
        <v>272.89999999999998</v>
      </c>
      <c r="U52" s="312"/>
      <c r="V52" s="468">
        <v>144.04</v>
      </c>
      <c r="W52" s="312"/>
      <c r="X52" s="468">
        <v>609.26</v>
      </c>
      <c r="Y52" s="312"/>
      <c r="Z52" s="468">
        <v>7448.23</v>
      </c>
      <c r="AA52" s="312"/>
      <c r="AB52" s="468">
        <v>333.23</v>
      </c>
      <c r="AC52" s="312"/>
      <c r="AD52" s="468">
        <v>333.23</v>
      </c>
      <c r="AE52" s="312"/>
      <c r="AF52" s="468">
        <f t="shared" si="3"/>
        <v>10652.8</v>
      </c>
    </row>
    <row r="53" spans="1:32" x14ac:dyDescent="0.25">
      <c r="A53" s="485"/>
      <c r="B53" s="485"/>
      <c r="C53" s="485"/>
      <c r="D53" s="485"/>
      <c r="E53" s="485" t="s">
        <v>182</v>
      </c>
      <c r="F53" s="485"/>
      <c r="G53" s="485"/>
      <c r="H53" s="468">
        <v>0</v>
      </c>
      <c r="I53" s="312"/>
      <c r="J53" s="468">
        <v>0</v>
      </c>
      <c r="K53" s="312"/>
      <c r="L53" s="468">
        <v>4640</v>
      </c>
      <c r="M53" s="312"/>
      <c r="N53" s="468">
        <v>0</v>
      </c>
      <c r="O53" s="312"/>
      <c r="P53" s="468">
        <v>0</v>
      </c>
      <c r="Q53" s="312"/>
      <c r="R53" s="468">
        <v>0</v>
      </c>
      <c r="S53" s="312"/>
      <c r="T53" s="468">
        <v>0</v>
      </c>
      <c r="U53" s="312"/>
      <c r="V53" s="468">
        <v>0</v>
      </c>
      <c r="W53" s="312"/>
      <c r="X53" s="468">
        <v>0</v>
      </c>
      <c r="Y53" s="312"/>
      <c r="Z53" s="468">
        <v>0</v>
      </c>
      <c r="AA53" s="312"/>
      <c r="AB53" s="468">
        <v>0</v>
      </c>
      <c r="AC53" s="312"/>
      <c r="AD53" s="468">
        <v>0</v>
      </c>
      <c r="AE53" s="312"/>
      <c r="AF53" s="468">
        <f t="shared" si="3"/>
        <v>4640</v>
      </c>
    </row>
    <row r="54" spans="1:32" x14ac:dyDescent="0.25">
      <c r="A54" s="485"/>
      <c r="B54" s="485"/>
      <c r="C54" s="485"/>
      <c r="D54" s="485"/>
      <c r="E54" s="485" t="s">
        <v>183</v>
      </c>
      <c r="F54" s="485"/>
      <c r="G54" s="485"/>
      <c r="H54" s="468">
        <v>3498.27</v>
      </c>
      <c r="I54" s="312"/>
      <c r="J54" s="468">
        <v>1216.5999999999999</v>
      </c>
      <c r="K54" s="312"/>
      <c r="L54" s="468">
        <v>1021.61</v>
      </c>
      <c r="M54" s="312"/>
      <c r="N54" s="468">
        <v>1011</v>
      </c>
      <c r="O54" s="312"/>
      <c r="P54" s="468">
        <v>2831.99</v>
      </c>
      <c r="Q54" s="312"/>
      <c r="R54" s="468">
        <v>1549.55</v>
      </c>
      <c r="S54" s="312"/>
      <c r="T54" s="468">
        <v>2802.85</v>
      </c>
      <c r="U54" s="312"/>
      <c r="V54" s="468">
        <v>1096.3399999999999</v>
      </c>
      <c r="W54" s="312"/>
      <c r="X54" s="468">
        <v>3000.32</v>
      </c>
      <c r="Y54" s="312"/>
      <c r="Z54" s="468">
        <v>434.43</v>
      </c>
      <c r="AA54" s="312"/>
      <c r="AB54" s="468">
        <v>1408.37</v>
      </c>
      <c r="AC54" s="312"/>
      <c r="AD54" s="468">
        <v>1225.05</v>
      </c>
      <c r="AE54" s="312"/>
      <c r="AF54" s="468">
        <f t="shared" si="3"/>
        <v>21096.38</v>
      </c>
    </row>
    <row r="55" spans="1:32" x14ac:dyDescent="0.25">
      <c r="A55" s="485"/>
      <c r="B55" s="485"/>
      <c r="C55" s="485"/>
      <c r="D55" s="485"/>
      <c r="E55" s="485" t="s">
        <v>184</v>
      </c>
      <c r="F55" s="485"/>
      <c r="G55" s="485"/>
      <c r="H55" s="468">
        <v>7647.45</v>
      </c>
      <c r="I55" s="312"/>
      <c r="J55" s="468">
        <v>7924.77</v>
      </c>
      <c r="K55" s="312"/>
      <c r="L55" s="468">
        <v>7551.13</v>
      </c>
      <c r="M55" s="312"/>
      <c r="N55" s="468">
        <v>6741.14</v>
      </c>
      <c r="O55" s="312"/>
      <c r="P55" s="468">
        <v>11243.67</v>
      </c>
      <c r="Q55" s="312"/>
      <c r="R55" s="468">
        <v>9492.1200000000008</v>
      </c>
      <c r="S55" s="312"/>
      <c r="T55" s="468">
        <v>3051.31</v>
      </c>
      <c r="U55" s="312"/>
      <c r="V55" s="468">
        <v>2946.29</v>
      </c>
      <c r="W55" s="312"/>
      <c r="X55" s="468">
        <v>1513.25</v>
      </c>
      <c r="Y55" s="312"/>
      <c r="Z55" s="468">
        <v>-2031.71</v>
      </c>
      <c r="AA55" s="312"/>
      <c r="AB55" s="468">
        <v>1288.25</v>
      </c>
      <c r="AC55" s="312"/>
      <c r="AD55" s="468">
        <v>1498.25</v>
      </c>
      <c r="AE55" s="312"/>
      <c r="AF55" s="468">
        <f t="shared" si="3"/>
        <v>58865.919999999998</v>
      </c>
    </row>
    <row r="56" spans="1:32" x14ac:dyDescent="0.25">
      <c r="A56" s="485"/>
      <c r="B56" s="485"/>
      <c r="C56" s="485"/>
      <c r="D56" s="485"/>
      <c r="E56" s="485" t="s">
        <v>185</v>
      </c>
      <c r="F56" s="485"/>
      <c r="G56" s="485"/>
      <c r="H56" s="468">
        <v>0</v>
      </c>
      <c r="I56" s="312"/>
      <c r="J56" s="468">
        <v>0</v>
      </c>
      <c r="K56" s="312"/>
      <c r="L56" s="468">
        <v>0</v>
      </c>
      <c r="M56" s="312"/>
      <c r="N56" s="468">
        <v>0</v>
      </c>
      <c r="O56" s="312"/>
      <c r="P56" s="468">
        <v>0</v>
      </c>
      <c r="Q56" s="312"/>
      <c r="R56" s="468">
        <v>0</v>
      </c>
      <c r="S56" s="312"/>
      <c r="T56" s="468">
        <v>0</v>
      </c>
      <c r="U56" s="312"/>
      <c r="V56" s="468">
        <v>0</v>
      </c>
      <c r="W56" s="312"/>
      <c r="X56" s="468">
        <v>0</v>
      </c>
      <c r="Y56" s="312"/>
      <c r="Z56" s="468">
        <v>5316.63</v>
      </c>
      <c r="AA56" s="312"/>
      <c r="AB56" s="468">
        <v>4059.4</v>
      </c>
      <c r="AC56" s="312"/>
      <c r="AD56" s="468">
        <v>1292.3900000000001</v>
      </c>
      <c r="AE56" s="312"/>
      <c r="AF56" s="468">
        <f t="shared" si="3"/>
        <v>10668.42</v>
      </c>
    </row>
    <row r="57" spans="1:32" ht="15.75" thickBot="1" x14ac:dyDescent="0.3">
      <c r="A57" s="485"/>
      <c r="B57" s="485"/>
      <c r="C57" s="485"/>
      <c r="D57" s="485"/>
      <c r="E57" s="485" t="s">
        <v>507</v>
      </c>
      <c r="F57" s="485"/>
      <c r="G57" s="485"/>
      <c r="H57" s="467">
        <v>0</v>
      </c>
      <c r="I57" s="312"/>
      <c r="J57" s="467">
        <v>0</v>
      </c>
      <c r="K57" s="312"/>
      <c r="L57" s="467">
        <v>0</v>
      </c>
      <c r="M57" s="312"/>
      <c r="N57" s="467">
        <v>0</v>
      </c>
      <c r="O57" s="312"/>
      <c r="P57" s="467">
        <v>0</v>
      </c>
      <c r="Q57" s="312"/>
      <c r="R57" s="467">
        <v>0</v>
      </c>
      <c r="S57" s="312"/>
      <c r="T57" s="467">
        <v>0</v>
      </c>
      <c r="U57" s="312"/>
      <c r="V57" s="467">
        <v>0</v>
      </c>
      <c r="W57" s="312"/>
      <c r="X57" s="467">
        <v>0</v>
      </c>
      <c r="Y57" s="312"/>
      <c r="Z57" s="467">
        <v>0</v>
      </c>
      <c r="AA57" s="312"/>
      <c r="AB57" s="467">
        <v>0</v>
      </c>
      <c r="AC57" s="312"/>
      <c r="AD57" s="467">
        <v>330.29</v>
      </c>
      <c r="AE57" s="312"/>
      <c r="AF57" s="467">
        <f t="shared" si="3"/>
        <v>330.29</v>
      </c>
    </row>
    <row r="58" spans="1:32" ht="15.75" thickBot="1" x14ac:dyDescent="0.3">
      <c r="A58" s="485"/>
      <c r="B58" s="485"/>
      <c r="C58" s="485"/>
      <c r="D58" s="485" t="s">
        <v>73</v>
      </c>
      <c r="E58" s="485"/>
      <c r="F58" s="485"/>
      <c r="G58" s="485"/>
      <c r="H58" s="314">
        <f>ROUND(SUM(H38:H57),5)</f>
        <v>149909.01</v>
      </c>
      <c r="I58" s="312"/>
      <c r="J58" s="314">
        <f>ROUND(SUM(J38:J57),5)</f>
        <v>30764.38</v>
      </c>
      <c r="K58" s="312"/>
      <c r="L58" s="314">
        <f>ROUND(SUM(L38:L57),5)</f>
        <v>37876.07</v>
      </c>
      <c r="M58" s="312"/>
      <c r="N58" s="314">
        <f>ROUND(SUM(N38:N57),5)</f>
        <v>32548.03</v>
      </c>
      <c r="O58" s="312"/>
      <c r="P58" s="314">
        <f>ROUND(SUM(P38:P57),5)</f>
        <v>43286.51</v>
      </c>
      <c r="Q58" s="312"/>
      <c r="R58" s="314">
        <f>ROUND(SUM(R38:R57),5)</f>
        <v>41275.71</v>
      </c>
      <c r="S58" s="312"/>
      <c r="T58" s="314">
        <f>ROUND(SUM(T38:T57),5)</f>
        <v>41487.56</v>
      </c>
      <c r="U58" s="312"/>
      <c r="V58" s="314">
        <f>ROUND(SUM(V38:V57),5)</f>
        <v>45734.32</v>
      </c>
      <c r="W58" s="312"/>
      <c r="X58" s="314">
        <f>ROUND(SUM(X38:X57),5)</f>
        <v>42468.82</v>
      </c>
      <c r="Y58" s="312"/>
      <c r="Z58" s="314">
        <f>ROUND(SUM(Z38:Z57),5)</f>
        <v>48120.95</v>
      </c>
      <c r="AA58" s="312"/>
      <c r="AB58" s="314">
        <f>ROUND(SUM(AB38:AB57),5)</f>
        <v>37973.9</v>
      </c>
      <c r="AC58" s="312"/>
      <c r="AD58" s="314">
        <f>ROUND(SUM(AD38:AD57),5)</f>
        <v>24787.05</v>
      </c>
      <c r="AE58" s="312"/>
      <c r="AF58" s="314">
        <f t="shared" si="3"/>
        <v>576232.31000000006</v>
      </c>
    </row>
    <row r="59" spans="1:32" x14ac:dyDescent="0.25">
      <c r="A59" s="485"/>
      <c r="B59" s="485" t="s">
        <v>186</v>
      </c>
      <c r="C59" s="485"/>
      <c r="D59" s="485"/>
      <c r="E59" s="485"/>
      <c r="F59" s="485"/>
      <c r="G59" s="485"/>
      <c r="H59" s="468">
        <f>ROUND(H2+H37-H58,5)</f>
        <v>-115668.28</v>
      </c>
      <c r="I59" s="312"/>
      <c r="J59" s="468">
        <f>ROUND(J2+J37-J58,5)</f>
        <v>53619.98</v>
      </c>
      <c r="K59" s="312"/>
      <c r="L59" s="468">
        <f>ROUND(L2+L37-L58,5)</f>
        <v>-2640.97</v>
      </c>
      <c r="M59" s="312"/>
      <c r="N59" s="468">
        <f>ROUND(N2+N37-N58,5)</f>
        <v>-4140.3900000000003</v>
      </c>
      <c r="O59" s="312"/>
      <c r="P59" s="468">
        <f>ROUND(P2+P37-P58,5)</f>
        <v>30697.08</v>
      </c>
      <c r="Q59" s="312"/>
      <c r="R59" s="468">
        <f>ROUND(R2+R37-R58,5)</f>
        <v>-4759.0600000000004</v>
      </c>
      <c r="S59" s="312"/>
      <c r="T59" s="468">
        <f>ROUND(T2+T37-T58,5)</f>
        <v>-24700.080000000002</v>
      </c>
      <c r="U59" s="312"/>
      <c r="V59" s="468">
        <f>ROUND(V2+V37-V58,5)</f>
        <v>8808.93</v>
      </c>
      <c r="W59" s="312"/>
      <c r="X59" s="468">
        <f>ROUND(X2+X37-X58,5)</f>
        <v>3635.33</v>
      </c>
      <c r="Y59" s="312"/>
      <c r="Z59" s="468">
        <f>ROUND(Z2+Z37-Z58,5)</f>
        <v>-41295.21</v>
      </c>
      <c r="AA59" s="312"/>
      <c r="AB59" s="468">
        <f>ROUND(AB2+AB37-AB58,5)</f>
        <v>-13235.92</v>
      </c>
      <c r="AC59" s="312"/>
      <c r="AD59" s="468">
        <f>ROUND(AD2+AD37-AD58,5)</f>
        <v>-9620.0400000000009</v>
      </c>
      <c r="AE59" s="312"/>
      <c r="AF59" s="468">
        <f t="shared" si="3"/>
        <v>-119298.63</v>
      </c>
    </row>
    <row r="60" spans="1:32" x14ac:dyDescent="0.25">
      <c r="A60" s="485"/>
      <c r="B60" s="485" t="s">
        <v>223</v>
      </c>
      <c r="C60" s="485"/>
      <c r="D60" s="485"/>
      <c r="E60" s="485"/>
      <c r="F60" s="485"/>
      <c r="G60" s="485"/>
      <c r="H60" s="468"/>
      <c r="I60" s="312"/>
      <c r="J60" s="468"/>
      <c r="K60" s="312"/>
      <c r="L60" s="468"/>
      <c r="M60" s="312"/>
      <c r="N60" s="468"/>
      <c r="O60" s="312"/>
      <c r="P60" s="468"/>
      <c r="Q60" s="312"/>
      <c r="R60" s="468"/>
      <c r="S60" s="312"/>
      <c r="T60" s="468"/>
      <c r="U60" s="312"/>
      <c r="V60" s="468"/>
      <c r="W60" s="312"/>
      <c r="X60" s="468"/>
      <c r="Y60" s="312"/>
      <c r="Z60" s="468"/>
      <c r="AA60" s="312"/>
      <c r="AB60" s="468"/>
      <c r="AC60" s="312"/>
      <c r="AD60" s="468"/>
      <c r="AE60" s="312"/>
      <c r="AF60" s="468"/>
    </row>
    <row r="61" spans="1:32" x14ac:dyDescent="0.25">
      <c r="A61" s="485"/>
      <c r="B61" s="485"/>
      <c r="C61" s="485" t="s">
        <v>224</v>
      </c>
      <c r="D61" s="485"/>
      <c r="E61" s="485"/>
      <c r="F61" s="485"/>
      <c r="G61" s="485"/>
      <c r="H61" s="468"/>
      <c r="I61" s="312"/>
      <c r="J61" s="468"/>
      <c r="K61" s="312"/>
      <c r="L61" s="468"/>
      <c r="M61" s="312"/>
      <c r="N61" s="468"/>
      <c r="O61" s="312"/>
      <c r="P61" s="468"/>
      <c r="Q61" s="312"/>
      <c r="R61" s="468"/>
      <c r="S61" s="312"/>
      <c r="T61" s="468"/>
      <c r="U61" s="312"/>
      <c r="V61" s="468"/>
      <c r="W61" s="312"/>
      <c r="X61" s="468"/>
      <c r="Y61" s="312"/>
      <c r="Z61" s="468"/>
      <c r="AA61" s="312"/>
      <c r="AB61" s="468"/>
      <c r="AC61" s="312"/>
      <c r="AD61" s="468"/>
      <c r="AE61" s="312"/>
      <c r="AF61" s="468"/>
    </row>
    <row r="62" spans="1:32" ht="15.75" thickBot="1" x14ac:dyDescent="0.3">
      <c r="A62" s="485"/>
      <c r="B62" s="485"/>
      <c r="C62" s="485"/>
      <c r="D62" s="485" t="s">
        <v>225</v>
      </c>
      <c r="E62" s="485"/>
      <c r="F62" s="485"/>
      <c r="G62" s="485"/>
      <c r="H62" s="467">
        <v>15733.62</v>
      </c>
      <c r="I62" s="312"/>
      <c r="J62" s="467">
        <v>0</v>
      </c>
      <c r="K62" s="312"/>
      <c r="L62" s="467">
        <v>0</v>
      </c>
      <c r="M62" s="312"/>
      <c r="N62" s="467">
        <v>0</v>
      </c>
      <c r="O62" s="312"/>
      <c r="P62" s="467">
        <v>0</v>
      </c>
      <c r="Q62" s="312"/>
      <c r="R62" s="467">
        <v>0</v>
      </c>
      <c r="S62" s="312"/>
      <c r="T62" s="467">
        <v>0</v>
      </c>
      <c r="U62" s="312"/>
      <c r="V62" s="467">
        <v>0</v>
      </c>
      <c r="W62" s="312"/>
      <c r="X62" s="467">
        <v>0</v>
      </c>
      <c r="Y62" s="312"/>
      <c r="Z62" s="467">
        <v>0</v>
      </c>
      <c r="AA62" s="312"/>
      <c r="AB62" s="467">
        <v>0</v>
      </c>
      <c r="AC62" s="312"/>
      <c r="AD62" s="467">
        <v>0</v>
      </c>
      <c r="AE62" s="312"/>
      <c r="AF62" s="467">
        <f>ROUND(SUM(H62:AD62),5)</f>
        <v>15733.62</v>
      </c>
    </row>
    <row r="63" spans="1:32" ht="15.75" thickBot="1" x14ac:dyDescent="0.3">
      <c r="A63" s="485"/>
      <c r="B63" s="485"/>
      <c r="C63" s="485" t="s">
        <v>226</v>
      </c>
      <c r="D63" s="485"/>
      <c r="E63" s="485"/>
      <c r="F63" s="485"/>
      <c r="G63" s="485"/>
      <c r="H63" s="315">
        <f>ROUND(SUM(H61:H62),5)</f>
        <v>15733.62</v>
      </c>
      <c r="I63" s="312"/>
      <c r="J63" s="315">
        <f>ROUND(SUM(J61:J62),5)</f>
        <v>0</v>
      </c>
      <c r="K63" s="312"/>
      <c r="L63" s="315">
        <f>ROUND(SUM(L61:L62),5)</f>
        <v>0</v>
      </c>
      <c r="M63" s="312"/>
      <c r="N63" s="315">
        <f>ROUND(SUM(N61:N62),5)</f>
        <v>0</v>
      </c>
      <c r="O63" s="312"/>
      <c r="P63" s="315">
        <f>ROUND(SUM(P61:P62),5)</f>
        <v>0</v>
      </c>
      <c r="Q63" s="312"/>
      <c r="R63" s="315">
        <f>ROUND(SUM(R61:R62),5)</f>
        <v>0</v>
      </c>
      <c r="S63" s="312"/>
      <c r="T63" s="315">
        <f>ROUND(SUM(T61:T62),5)</f>
        <v>0</v>
      </c>
      <c r="U63" s="312"/>
      <c r="V63" s="315">
        <f>ROUND(SUM(V61:V62),5)</f>
        <v>0</v>
      </c>
      <c r="W63" s="312"/>
      <c r="X63" s="315">
        <f>ROUND(SUM(X61:X62),5)</f>
        <v>0</v>
      </c>
      <c r="Y63" s="312"/>
      <c r="Z63" s="315">
        <f>ROUND(SUM(Z61:Z62),5)</f>
        <v>0</v>
      </c>
      <c r="AA63" s="312"/>
      <c r="AB63" s="315">
        <f>ROUND(SUM(AB61:AB62),5)</f>
        <v>0</v>
      </c>
      <c r="AC63" s="312"/>
      <c r="AD63" s="315">
        <f>ROUND(SUM(AD61:AD62),5)</f>
        <v>0</v>
      </c>
      <c r="AE63" s="312"/>
      <c r="AF63" s="315">
        <f>ROUND(SUM(H63:AD63),5)</f>
        <v>15733.62</v>
      </c>
    </row>
    <row r="64" spans="1:32" ht="15.75" thickBot="1" x14ac:dyDescent="0.3">
      <c r="A64" s="485"/>
      <c r="B64" s="485" t="s">
        <v>227</v>
      </c>
      <c r="C64" s="485"/>
      <c r="D64" s="485"/>
      <c r="E64" s="485"/>
      <c r="F64" s="485"/>
      <c r="G64" s="485"/>
      <c r="H64" s="315">
        <f>ROUND(H60-H63,5)</f>
        <v>-15733.62</v>
      </c>
      <c r="I64" s="312"/>
      <c r="J64" s="315">
        <f>ROUND(J60-J63,5)</f>
        <v>0</v>
      </c>
      <c r="K64" s="312"/>
      <c r="L64" s="315">
        <f>ROUND(L60-L63,5)</f>
        <v>0</v>
      </c>
      <c r="M64" s="312"/>
      <c r="N64" s="315">
        <f>ROUND(N60-N63,5)</f>
        <v>0</v>
      </c>
      <c r="O64" s="312"/>
      <c r="P64" s="315">
        <f>ROUND(P60-P63,5)</f>
        <v>0</v>
      </c>
      <c r="Q64" s="312"/>
      <c r="R64" s="315">
        <f>ROUND(R60-R63,5)</f>
        <v>0</v>
      </c>
      <c r="S64" s="312"/>
      <c r="T64" s="315">
        <f>ROUND(T60-T63,5)</f>
        <v>0</v>
      </c>
      <c r="U64" s="312"/>
      <c r="V64" s="315">
        <f>ROUND(V60-V63,5)</f>
        <v>0</v>
      </c>
      <c r="W64" s="312"/>
      <c r="X64" s="315">
        <f>ROUND(X60-X63,5)</f>
        <v>0</v>
      </c>
      <c r="Y64" s="312"/>
      <c r="Z64" s="315">
        <f>ROUND(Z60-Z63,5)</f>
        <v>0</v>
      </c>
      <c r="AA64" s="312"/>
      <c r="AB64" s="315">
        <f>ROUND(AB60-AB63,5)</f>
        <v>0</v>
      </c>
      <c r="AC64" s="312"/>
      <c r="AD64" s="315">
        <f>ROUND(AD60-AD63,5)</f>
        <v>0</v>
      </c>
      <c r="AE64" s="312"/>
      <c r="AF64" s="315">
        <f>ROUND(SUM(H64:AD64),5)</f>
        <v>-15733.62</v>
      </c>
    </row>
    <row r="65" spans="1:32" s="317" customFormat="1" ht="12" thickBot="1" x14ac:dyDescent="0.25">
      <c r="A65" s="485" t="s">
        <v>187</v>
      </c>
      <c r="B65" s="485"/>
      <c r="C65" s="485"/>
      <c r="D65" s="485"/>
      <c r="E65" s="485"/>
      <c r="F65" s="485"/>
      <c r="G65" s="485"/>
      <c r="H65" s="316">
        <f>ROUND(H59+H64,5)</f>
        <v>-131401.9</v>
      </c>
      <c r="I65" s="485"/>
      <c r="J65" s="316">
        <f>ROUND(J59+J64,5)</f>
        <v>53619.98</v>
      </c>
      <c r="K65" s="485"/>
      <c r="L65" s="316">
        <f>ROUND(L59+L64,5)</f>
        <v>-2640.97</v>
      </c>
      <c r="M65" s="485"/>
      <c r="N65" s="316">
        <f>ROUND(N59+N64,5)</f>
        <v>-4140.3900000000003</v>
      </c>
      <c r="O65" s="485"/>
      <c r="P65" s="316">
        <f>ROUND(P59+P64,5)</f>
        <v>30697.08</v>
      </c>
      <c r="Q65" s="485"/>
      <c r="R65" s="316">
        <f>ROUND(R59+R64,5)</f>
        <v>-4759.0600000000004</v>
      </c>
      <c r="S65" s="485"/>
      <c r="T65" s="316">
        <f>ROUND(T59+T64,5)</f>
        <v>-24700.080000000002</v>
      </c>
      <c r="U65" s="485"/>
      <c r="V65" s="316">
        <f>ROUND(V59+V64,5)</f>
        <v>8808.93</v>
      </c>
      <c r="W65" s="485"/>
      <c r="X65" s="316">
        <f>ROUND(X59+X64,5)</f>
        <v>3635.33</v>
      </c>
      <c r="Y65" s="485"/>
      <c r="Z65" s="316">
        <f>ROUND(Z59+Z64,5)</f>
        <v>-41295.21</v>
      </c>
      <c r="AA65" s="485"/>
      <c r="AB65" s="316">
        <f>ROUND(AB59+AB64,5)</f>
        <v>-13235.92</v>
      </c>
      <c r="AC65" s="485"/>
      <c r="AD65" s="316">
        <f>ROUND(AD59+AD64,5)</f>
        <v>-9620.0400000000009</v>
      </c>
      <c r="AE65" s="485"/>
      <c r="AF65" s="316">
        <f>ROUND(SUM(H65:AD65),5)</f>
        <v>-135032.25</v>
      </c>
    </row>
    <row r="66" spans="1:32" ht="15.75" thickTop="1" x14ac:dyDescent="0.25"/>
  </sheetData>
  <pageMargins left="0.2" right="0.2" top="0.75" bottom="0.25" header="0.1" footer="0.3"/>
  <pageSetup scale="84" orientation="portrait" r:id="rId1"/>
  <headerFooter>
    <oddHeader>&amp;L&amp;"Arial,Bold"&amp;8 2:43 PM
 03/02/19
 Accrual Basis&amp;C&amp;"Arial,Bold"&amp;12 League of Women Voters of California
&amp;14 Statement of Activities
&amp;10 February 2018 through January 2019</oddHeader>
    <oddFooter>&amp;R&amp;"Arial,Bold"&amp;8 Page &amp;P of &amp;N</oddFooter>
  </headerFooter>
  <colBreaks count="1" manualBreakCount="1">
    <brk id="1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D88"/>
  <sheetViews>
    <sheetView workbookViewId="0">
      <pane xSplit="7" ySplit="1" topLeftCell="H60" activePane="bottomRight" state="frozenSplit"/>
      <selection pane="topRight" activeCell="H1" sqref="H1"/>
      <selection pane="bottomLeft" activeCell="A2" sqref="A2"/>
      <selection pane="bottomRight" activeCell="AD81" sqref="AD81"/>
    </sheetView>
  </sheetViews>
  <sheetFormatPr defaultRowHeight="15" x14ac:dyDescent="0.25"/>
  <cols>
    <col min="1" max="6" width="3" style="463" customWidth="1"/>
    <col min="7" max="7" width="34" style="463" customWidth="1"/>
    <col min="8" max="8" width="8.7109375" style="464" bestFit="1" customWidth="1"/>
    <col min="9" max="9" width="2.28515625" style="464" customWidth="1"/>
    <col min="10" max="10" width="8.7109375" style="464" bestFit="1" customWidth="1"/>
    <col min="11" max="11" width="2.28515625" style="464" customWidth="1"/>
    <col min="12" max="12" width="8.85546875" style="464" bestFit="1" customWidth="1"/>
    <col min="13" max="13" width="2.28515625" style="464" customWidth="1"/>
    <col min="14" max="14" width="8.7109375" style="464" bestFit="1" customWidth="1"/>
    <col min="15" max="15" width="2.28515625" style="464" customWidth="1"/>
    <col min="16" max="16" width="8.7109375" style="464" bestFit="1" customWidth="1"/>
    <col min="17" max="17" width="2.28515625" style="464" customWidth="1"/>
    <col min="18" max="18" width="8.7109375" style="464" bestFit="1" customWidth="1"/>
    <col min="19" max="19" width="2.28515625" style="464" customWidth="1"/>
    <col min="20" max="20" width="8.7109375" style="464" bestFit="1" customWidth="1"/>
    <col min="21" max="21" width="2.28515625" style="464" customWidth="1"/>
    <col min="22" max="22" width="8.7109375" style="464" bestFit="1" customWidth="1"/>
    <col min="23" max="23" width="2.28515625" style="464" customWidth="1"/>
    <col min="24" max="24" width="8.7109375" style="464" bestFit="1" customWidth="1"/>
    <col min="25" max="25" width="2.28515625" style="464" customWidth="1"/>
    <col min="26" max="26" width="8.7109375" style="464" bestFit="1" customWidth="1"/>
    <col min="27" max="27" width="2.28515625" style="464" customWidth="1"/>
    <col min="28" max="28" width="8.7109375" style="464" bestFit="1" customWidth="1"/>
    <col min="29" max="29" width="2.28515625" style="464" customWidth="1"/>
    <col min="30" max="30" width="8.85546875" style="464" bestFit="1" customWidth="1"/>
    <col min="31" max="16384" width="9.140625" style="462"/>
  </cols>
  <sheetData>
    <row r="1" spans="1:30" s="466" customFormat="1" ht="15.75" thickBot="1" x14ac:dyDescent="0.3">
      <c r="A1" s="465"/>
      <c r="B1" s="465"/>
      <c r="C1" s="465"/>
      <c r="D1" s="465"/>
      <c r="E1" s="465"/>
      <c r="F1" s="465"/>
      <c r="G1" s="465"/>
      <c r="H1" s="341" t="s">
        <v>228</v>
      </c>
      <c r="I1" s="310"/>
      <c r="J1" s="341" t="s">
        <v>229</v>
      </c>
      <c r="K1" s="310"/>
      <c r="L1" s="341" t="s">
        <v>230</v>
      </c>
      <c r="M1" s="310"/>
      <c r="N1" s="341" t="s">
        <v>231</v>
      </c>
      <c r="O1" s="310"/>
      <c r="P1" s="341" t="s">
        <v>232</v>
      </c>
      <c r="Q1" s="310"/>
      <c r="R1" s="341" t="s">
        <v>233</v>
      </c>
      <c r="S1" s="310"/>
      <c r="T1" s="341" t="s">
        <v>234</v>
      </c>
      <c r="U1" s="310"/>
      <c r="V1" s="341" t="s">
        <v>235</v>
      </c>
      <c r="W1" s="310"/>
      <c r="X1" s="341" t="s">
        <v>236</v>
      </c>
      <c r="Y1" s="310"/>
      <c r="Z1" s="341" t="s">
        <v>237</v>
      </c>
      <c r="AA1" s="310"/>
      <c r="AB1" s="341" t="s">
        <v>498</v>
      </c>
      <c r="AC1" s="310"/>
      <c r="AD1" s="341" t="s">
        <v>509</v>
      </c>
    </row>
    <row r="2" spans="1:30" ht="15.75" thickTop="1" x14ac:dyDescent="0.25">
      <c r="A2" s="485" t="s">
        <v>238</v>
      </c>
      <c r="B2" s="485"/>
      <c r="C2" s="485"/>
      <c r="D2" s="485"/>
      <c r="E2" s="485"/>
      <c r="F2" s="485"/>
      <c r="G2" s="485"/>
      <c r="H2" s="468"/>
      <c r="I2" s="312"/>
      <c r="J2" s="468"/>
      <c r="K2" s="312"/>
      <c r="L2" s="468"/>
      <c r="M2" s="312"/>
      <c r="N2" s="468"/>
      <c r="O2" s="312"/>
      <c r="P2" s="468"/>
      <c r="Q2" s="312"/>
      <c r="R2" s="468"/>
      <c r="S2" s="312"/>
      <c r="T2" s="468"/>
      <c r="U2" s="312"/>
      <c r="V2" s="468"/>
      <c r="W2" s="312"/>
      <c r="X2" s="468"/>
      <c r="Y2" s="312"/>
      <c r="Z2" s="468"/>
      <c r="AA2" s="312"/>
      <c r="AB2" s="468"/>
      <c r="AC2" s="312"/>
      <c r="AD2" s="468"/>
    </row>
    <row r="3" spans="1:30" x14ac:dyDescent="0.25">
      <c r="A3" s="485"/>
      <c r="B3" s="485" t="s">
        <v>239</v>
      </c>
      <c r="C3" s="485"/>
      <c r="D3" s="485"/>
      <c r="E3" s="485"/>
      <c r="F3" s="485"/>
      <c r="G3" s="485"/>
      <c r="H3" s="468"/>
      <c r="I3" s="312"/>
      <c r="J3" s="468"/>
      <c r="K3" s="312"/>
      <c r="L3" s="468"/>
      <c r="M3" s="312"/>
      <c r="N3" s="468"/>
      <c r="O3" s="312"/>
      <c r="P3" s="468"/>
      <c r="Q3" s="312"/>
      <c r="R3" s="468"/>
      <c r="S3" s="312"/>
      <c r="T3" s="468"/>
      <c r="U3" s="312"/>
      <c r="V3" s="468"/>
      <c r="W3" s="312"/>
      <c r="X3" s="468"/>
      <c r="Y3" s="312"/>
      <c r="Z3" s="468"/>
      <c r="AA3" s="312"/>
      <c r="AB3" s="468"/>
      <c r="AC3" s="312"/>
      <c r="AD3" s="468"/>
    </row>
    <row r="4" spans="1:30" x14ac:dyDescent="0.25">
      <c r="A4" s="485"/>
      <c r="B4" s="485"/>
      <c r="C4" s="485" t="s">
        <v>240</v>
      </c>
      <c r="D4" s="485"/>
      <c r="E4" s="485"/>
      <c r="F4" s="485"/>
      <c r="G4" s="485"/>
      <c r="H4" s="468"/>
      <c r="I4" s="312"/>
      <c r="J4" s="468"/>
      <c r="K4" s="312"/>
      <c r="L4" s="468"/>
      <c r="M4" s="312"/>
      <c r="N4" s="468"/>
      <c r="O4" s="312"/>
      <c r="P4" s="468"/>
      <c r="Q4" s="312"/>
      <c r="R4" s="468"/>
      <c r="S4" s="312"/>
      <c r="T4" s="468"/>
      <c r="U4" s="312"/>
      <c r="V4" s="468"/>
      <c r="W4" s="312"/>
      <c r="X4" s="468"/>
      <c r="Y4" s="312"/>
      <c r="Z4" s="468"/>
      <c r="AA4" s="312"/>
      <c r="AB4" s="468"/>
      <c r="AC4" s="312"/>
      <c r="AD4" s="468"/>
    </row>
    <row r="5" spans="1:30" x14ac:dyDescent="0.25">
      <c r="A5" s="485"/>
      <c r="B5" s="485"/>
      <c r="C5" s="485"/>
      <c r="D5" s="485" t="s">
        <v>241</v>
      </c>
      <c r="E5" s="485"/>
      <c r="F5" s="485"/>
      <c r="G5" s="485"/>
      <c r="H5" s="468"/>
      <c r="I5" s="312"/>
      <c r="J5" s="468"/>
      <c r="K5" s="312"/>
      <c r="L5" s="468"/>
      <c r="M5" s="312"/>
      <c r="N5" s="468"/>
      <c r="O5" s="312"/>
      <c r="P5" s="468"/>
      <c r="Q5" s="312"/>
      <c r="R5" s="468"/>
      <c r="S5" s="312"/>
      <c r="T5" s="468"/>
      <c r="U5" s="312"/>
      <c r="V5" s="468"/>
      <c r="W5" s="312"/>
      <c r="X5" s="468"/>
      <c r="Y5" s="312"/>
      <c r="Z5" s="468"/>
      <c r="AA5" s="312"/>
      <c r="AB5" s="468"/>
      <c r="AC5" s="312"/>
      <c r="AD5" s="468"/>
    </row>
    <row r="6" spans="1:30" x14ac:dyDescent="0.25">
      <c r="A6" s="485"/>
      <c r="B6" s="485"/>
      <c r="C6" s="485"/>
      <c r="D6" s="485"/>
      <c r="E6" s="485" t="s">
        <v>242</v>
      </c>
      <c r="F6" s="485"/>
      <c r="G6" s="485"/>
      <c r="H6" s="468">
        <v>162561.23000000001</v>
      </c>
      <c r="I6" s="312"/>
      <c r="J6" s="468">
        <v>136409.09</v>
      </c>
      <c r="K6" s="312"/>
      <c r="L6" s="468">
        <v>114770.85</v>
      </c>
      <c r="M6" s="312"/>
      <c r="N6" s="468">
        <v>74623.600000000006</v>
      </c>
      <c r="O6" s="312"/>
      <c r="P6" s="468">
        <v>145941.35</v>
      </c>
      <c r="Q6" s="312"/>
      <c r="R6" s="468">
        <v>120545.82</v>
      </c>
      <c r="S6" s="312"/>
      <c r="T6" s="468">
        <v>93343.02</v>
      </c>
      <c r="U6" s="312"/>
      <c r="V6" s="468">
        <v>83221.17</v>
      </c>
      <c r="W6" s="312"/>
      <c r="X6" s="468">
        <v>14507.25</v>
      </c>
      <c r="Y6" s="312"/>
      <c r="Z6" s="468">
        <v>61680.59</v>
      </c>
      <c r="AA6" s="312"/>
      <c r="AB6" s="468">
        <v>53285.69</v>
      </c>
      <c r="AC6" s="312"/>
      <c r="AD6" s="468">
        <v>94453.759999999995</v>
      </c>
    </row>
    <row r="7" spans="1:30" x14ac:dyDescent="0.25">
      <c r="A7" s="485"/>
      <c r="B7" s="485"/>
      <c r="C7" s="485"/>
      <c r="D7" s="485"/>
      <c r="E7" s="485" t="s">
        <v>243</v>
      </c>
      <c r="F7" s="485"/>
      <c r="G7" s="485"/>
      <c r="H7" s="468">
        <v>0.33</v>
      </c>
      <c r="I7" s="312"/>
      <c r="J7" s="468">
        <v>0.33</v>
      </c>
      <c r="K7" s="312"/>
      <c r="L7" s="468">
        <v>0.33</v>
      </c>
      <c r="M7" s="312"/>
      <c r="N7" s="468">
        <v>0.33</v>
      </c>
      <c r="O7" s="312"/>
      <c r="P7" s="468">
        <v>0.33</v>
      </c>
      <c r="Q7" s="312"/>
      <c r="R7" s="468">
        <v>0.33</v>
      </c>
      <c r="S7" s="312"/>
      <c r="T7" s="468">
        <v>0.33</v>
      </c>
      <c r="U7" s="312"/>
      <c r="V7" s="468">
        <v>0.33</v>
      </c>
      <c r="W7" s="312"/>
      <c r="X7" s="468">
        <v>0.33</v>
      </c>
      <c r="Y7" s="312"/>
      <c r="Z7" s="468">
        <v>0.33</v>
      </c>
      <c r="AA7" s="312"/>
      <c r="AB7" s="468">
        <v>0.33</v>
      </c>
      <c r="AC7" s="312"/>
      <c r="AD7" s="468">
        <v>0.33</v>
      </c>
    </row>
    <row r="8" spans="1:30" x14ac:dyDescent="0.25">
      <c r="A8" s="485"/>
      <c r="B8" s="485"/>
      <c r="C8" s="485"/>
      <c r="D8" s="485"/>
      <c r="E8" s="485" t="s">
        <v>244</v>
      </c>
      <c r="F8" s="485"/>
      <c r="G8" s="485"/>
      <c r="H8" s="468"/>
      <c r="I8" s="312"/>
      <c r="J8" s="468"/>
      <c r="K8" s="312"/>
      <c r="L8" s="468"/>
      <c r="M8" s="312"/>
      <c r="N8" s="468"/>
      <c r="O8" s="312"/>
      <c r="P8" s="468"/>
      <c r="Q8" s="312"/>
      <c r="R8" s="468"/>
      <c r="S8" s="312"/>
      <c r="T8" s="468"/>
      <c r="U8" s="312"/>
      <c r="V8" s="468"/>
      <c r="W8" s="312"/>
      <c r="X8" s="468"/>
      <c r="Y8" s="312"/>
      <c r="Z8" s="468"/>
      <c r="AA8" s="312"/>
      <c r="AB8" s="468"/>
      <c r="AC8" s="312"/>
      <c r="AD8" s="468"/>
    </row>
    <row r="9" spans="1:30" x14ac:dyDescent="0.25">
      <c r="A9" s="485"/>
      <c r="B9" s="485"/>
      <c r="C9" s="485"/>
      <c r="D9" s="485"/>
      <c r="E9" s="485"/>
      <c r="F9" s="485" t="s">
        <v>245</v>
      </c>
      <c r="G9" s="485"/>
      <c r="H9" s="468">
        <v>0</v>
      </c>
      <c r="I9" s="312"/>
      <c r="J9" s="468">
        <v>16011.26</v>
      </c>
      <c r="K9" s="312"/>
      <c r="L9" s="468">
        <v>16041.26</v>
      </c>
      <c r="M9" s="312"/>
      <c r="N9" s="468">
        <v>16076.26</v>
      </c>
      <c r="O9" s="312"/>
      <c r="P9" s="468">
        <v>16115.18</v>
      </c>
      <c r="Q9" s="312"/>
      <c r="R9" s="468">
        <v>16148.08</v>
      </c>
      <c r="S9" s="312"/>
      <c r="T9" s="468">
        <v>16184.46</v>
      </c>
      <c r="U9" s="312"/>
      <c r="V9" s="468">
        <v>16219.78</v>
      </c>
      <c r="W9" s="312"/>
      <c r="X9" s="468">
        <v>16251.75</v>
      </c>
      <c r="Y9" s="312"/>
      <c r="Z9" s="468">
        <v>16288.36</v>
      </c>
      <c r="AA9" s="312"/>
      <c r="AB9" s="468">
        <v>16322.76</v>
      </c>
      <c r="AC9" s="312"/>
      <c r="AD9" s="468">
        <v>16356.08</v>
      </c>
    </row>
    <row r="10" spans="1:30" x14ac:dyDescent="0.25">
      <c r="A10" s="485"/>
      <c r="B10" s="485"/>
      <c r="C10" s="485"/>
      <c r="D10" s="485"/>
      <c r="E10" s="485"/>
      <c r="F10" s="485" t="s">
        <v>246</v>
      </c>
      <c r="G10" s="485"/>
      <c r="H10" s="468">
        <v>0</v>
      </c>
      <c r="I10" s="312"/>
      <c r="J10" s="468">
        <v>32315.62</v>
      </c>
      <c r="K10" s="312"/>
      <c r="L10" s="468">
        <v>32387.84</v>
      </c>
      <c r="M10" s="312"/>
      <c r="N10" s="468">
        <v>32435.09</v>
      </c>
      <c r="O10" s="312"/>
      <c r="P10" s="468">
        <v>32498.75</v>
      </c>
      <c r="Q10" s="312"/>
      <c r="R10" s="468">
        <v>32553.72</v>
      </c>
      <c r="S10" s="312"/>
      <c r="T10" s="468">
        <v>32614.49</v>
      </c>
      <c r="U10" s="312"/>
      <c r="V10" s="468">
        <v>32673.47</v>
      </c>
      <c r="W10" s="312"/>
      <c r="X10" s="468">
        <v>32673.47</v>
      </c>
      <c r="Y10" s="312"/>
      <c r="Z10" s="468">
        <v>32778.76</v>
      </c>
      <c r="AA10" s="312"/>
      <c r="AB10" s="468">
        <v>32825.53</v>
      </c>
      <c r="AC10" s="312"/>
      <c r="AD10" s="468">
        <v>32870.81</v>
      </c>
    </row>
    <row r="11" spans="1:30" ht="15.75" thickBot="1" x14ac:dyDescent="0.3">
      <c r="A11" s="485"/>
      <c r="B11" s="485"/>
      <c r="C11" s="485"/>
      <c r="D11" s="485"/>
      <c r="E11" s="485"/>
      <c r="F11" s="485" t="s">
        <v>247</v>
      </c>
      <c r="G11" s="485"/>
      <c r="H11" s="467">
        <v>32244.98</v>
      </c>
      <c r="I11" s="312"/>
      <c r="J11" s="467">
        <v>0</v>
      </c>
      <c r="K11" s="312"/>
      <c r="L11" s="467">
        <v>0</v>
      </c>
      <c r="M11" s="312"/>
      <c r="N11" s="467">
        <v>0</v>
      </c>
      <c r="O11" s="312"/>
      <c r="P11" s="467">
        <v>0</v>
      </c>
      <c r="Q11" s="312"/>
      <c r="R11" s="467">
        <v>0</v>
      </c>
      <c r="S11" s="312"/>
      <c r="T11" s="467">
        <v>0</v>
      </c>
      <c r="U11" s="312"/>
      <c r="V11" s="467">
        <v>0</v>
      </c>
      <c r="W11" s="312"/>
      <c r="X11" s="467">
        <v>0</v>
      </c>
      <c r="Y11" s="312"/>
      <c r="Z11" s="467">
        <v>0</v>
      </c>
      <c r="AA11" s="312"/>
      <c r="AB11" s="467">
        <v>0</v>
      </c>
      <c r="AC11" s="312"/>
      <c r="AD11" s="467">
        <v>0</v>
      </c>
    </row>
    <row r="12" spans="1:30" ht="15.75" thickBot="1" x14ac:dyDescent="0.3">
      <c r="A12" s="485"/>
      <c r="B12" s="485"/>
      <c r="C12" s="485"/>
      <c r="D12" s="485"/>
      <c r="E12" s="485" t="s">
        <v>248</v>
      </c>
      <c r="F12" s="485"/>
      <c r="G12" s="485"/>
      <c r="H12" s="315">
        <f>ROUND(SUM(H8:H11),5)</f>
        <v>32244.98</v>
      </c>
      <c r="I12" s="312"/>
      <c r="J12" s="315">
        <f>ROUND(SUM(J8:J11),5)</f>
        <v>48326.879999999997</v>
      </c>
      <c r="K12" s="312"/>
      <c r="L12" s="315">
        <f>ROUND(SUM(L8:L11),5)</f>
        <v>48429.1</v>
      </c>
      <c r="M12" s="312"/>
      <c r="N12" s="315">
        <f>ROUND(SUM(N8:N11),5)</f>
        <v>48511.35</v>
      </c>
      <c r="O12" s="312"/>
      <c r="P12" s="315">
        <f>ROUND(SUM(P8:P11),5)</f>
        <v>48613.93</v>
      </c>
      <c r="Q12" s="312"/>
      <c r="R12" s="315">
        <f>ROUND(SUM(R8:R11),5)</f>
        <v>48701.8</v>
      </c>
      <c r="S12" s="312"/>
      <c r="T12" s="315">
        <f>ROUND(SUM(T8:T11),5)</f>
        <v>48798.95</v>
      </c>
      <c r="U12" s="312"/>
      <c r="V12" s="315">
        <f>ROUND(SUM(V8:V11),5)</f>
        <v>48893.25</v>
      </c>
      <c r="W12" s="312"/>
      <c r="X12" s="315">
        <f>ROUND(SUM(X8:X11),5)</f>
        <v>48925.22</v>
      </c>
      <c r="Y12" s="312"/>
      <c r="Z12" s="315">
        <f>ROUND(SUM(Z8:Z11),5)</f>
        <v>49067.12</v>
      </c>
      <c r="AA12" s="312"/>
      <c r="AB12" s="315">
        <f>ROUND(SUM(AB8:AB11),5)</f>
        <v>49148.29</v>
      </c>
      <c r="AC12" s="312"/>
      <c r="AD12" s="315">
        <f>ROUND(SUM(AD8:AD11),5)</f>
        <v>49226.89</v>
      </c>
    </row>
    <row r="13" spans="1:30" ht="15.75" thickBot="1" x14ac:dyDescent="0.3">
      <c r="A13" s="485"/>
      <c r="B13" s="485"/>
      <c r="C13" s="485"/>
      <c r="D13" s="485" t="s">
        <v>249</v>
      </c>
      <c r="E13" s="485"/>
      <c r="F13" s="485"/>
      <c r="G13" s="485"/>
      <c r="H13" s="314">
        <f>ROUND(SUM(H5:H7)+H12,5)</f>
        <v>194806.54</v>
      </c>
      <c r="I13" s="312"/>
      <c r="J13" s="314">
        <f>ROUND(SUM(J5:J7)+J12,5)</f>
        <v>184736.3</v>
      </c>
      <c r="K13" s="312"/>
      <c r="L13" s="314">
        <f>ROUND(SUM(L5:L7)+L12,5)</f>
        <v>163200.28</v>
      </c>
      <c r="M13" s="312"/>
      <c r="N13" s="314">
        <f>ROUND(SUM(N5:N7)+N12,5)</f>
        <v>123135.28</v>
      </c>
      <c r="O13" s="312"/>
      <c r="P13" s="314">
        <f>ROUND(SUM(P5:P7)+P12,5)</f>
        <v>194555.61</v>
      </c>
      <c r="Q13" s="312"/>
      <c r="R13" s="314">
        <f>ROUND(SUM(R5:R7)+R12,5)</f>
        <v>169247.95</v>
      </c>
      <c r="S13" s="312"/>
      <c r="T13" s="314">
        <f>ROUND(SUM(T5:T7)+T12,5)</f>
        <v>142142.29999999999</v>
      </c>
      <c r="U13" s="312"/>
      <c r="V13" s="314">
        <f>ROUND(SUM(V5:V7)+V12,5)</f>
        <v>132114.75</v>
      </c>
      <c r="W13" s="312"/>
      <c r="X13" s="314">
        <f>ROUND(SUM(X5:X7)+X12,5)</f>
        <v>63432.800000000003</v>
      </c>
      <c r="Y13" s="312"/>
      <c r="Z13" s="314">
        <f>ROUND(SUM(Z5:Z7)+Z12,5)</f>
        <v>110748.04</v>
      </c>
      <c r="AA13" s="312"/>
      <c r="AB13" s="314">
        <f>ROUND(SUM(AB5:AB7)+AB12,5)</f>
        <v>102434.31</v>
      </c>
      <c r="AC13" s="312"/>
      <c r="AD13" s="314">
        <f>ROUND(SUM(AD5:AD7)+AD12,5)</f>
        <v>143680.98000000001</v>
      </c>
    </row>
    <row r="14" spans="1:30" x14ac:dyDescent="0.25">
      <c r="A14" s="485"/>
      <c r="B14" s="485"/>
      <c r="C14" s="485" t="s">
        <v>250</v>
      </c>
      <c r="D14" s="485"/>
      <c r="E14" s="485"/>
      <c r="F14" s="485"/>
      <c r="G14" s="485"/>
      <c r="H14" s="468">
        <f>ROUND(H4+H13,5)</f>
        <v>194806.54</v>
      </c>
      <c r="I14" s="312"/>
      <c r="J14" s="468">
        <f>ROUND(J4+J13,5)</f>
        <v>184736.3</v>
      </c>
      <c r="K14" s="312"/>
      <c r="L14" s="468">
        <f>ROUND(L4+L13,5)</f>
        <v>163200.28</v>
      </c>
      <c r="M14" s="312"/>
      <c r="N14" s="468">
        <f>ROUND(N4+N13,5)</f>
        <v>123135.28</v>
      </c>
      <c r="O14" s="312"/>
      <c r="P14" s="468">
        <f>ROUND(P4+P13,5)</f>
        <v>194555.61</v>
      </c>
      <c r="Q14" s="312"/>
      <c r="R14" s="468">
        <f>ROUND(R4+R13,5)</f>
        <v>169247.95</v>
      </c>
      <c r="S14" s="312"/>
      <c r="T14" s="468">
        <f>ROUND(T4+T13,5)</f>
        <v>142142.29999999999</v>
      </c>
      <c r="U14" s="312"/>
      <c r="V14" s="468">
        <f>ROUND(V4+V13,5)</f>
        <v>132114.75</v>
      </c>
      <c r="W14" s="312"/>
      <c r="X14" s="468">
        <f>ROUND(X4+X13,5)</f>
        <v>63432.800000000003</v>
      </c>
      <c r="Y14" s="312"/>
      <c r="Z14" s="468">
        <f>ROUND(Z4+Z13,5)</f>
        <v>110748.04</v>
      </c>
      <c r="AA14" s="312"/>
      <c r="AB14" s="468">
        <f>ROUND(AB4+AB13,5)</f>
        <v>102434.31</v>
      </c>
      <c r="AC14" s="312"/>
      <c r="AD14" s="468">
        <f>ROUND(AD4+AD13,5)</f>
        <v>143680.98000000001</v>
      </c>
    </row>
    <row r="15" spans="1:30" x14ac:dyDescent="0.25">
      <c r="A15" s="485"/>
      <c r="B15" s="485"/>
      <c r="C15" s="485" t="s">
        <v>251</v>
      </c>
      <c r="D15" s="485"/>
      <c r="E15" s="485"/>
      <c r="F15" s="485"/>
      <c r="G15" s="485"/>
      <c r="H15" s="468"/>
      <c r="I15" s="312"/>
      <c r="J15" s="468"/>
      <c r="K15" s="312"/>
      <c r="L15" s="468"/>
      <c r="M15" s="312"/>
      <c r="N15" s="468"/>
      <c r="O15" s="312"/>
      <c r="P15" s="468"/>
      <c r="Q15" s="312"/>
      <c r="R15" s="468"/>
      <c r="S15" s="312"/>
      <c r="T15" s="468"/>
      <c r="U15" s="312"/>
      <c r="V15" s="468"/>
      <c r="W15" s="312"/>
      <c r="X15" s="468"/>
      <c r="Y15" s="312"/>
      <c r="Z15" s="468"/>
      <c r="AA15" s="312"/>
      <c r="AB15" s="468"/>
      <c r="AC15" s="312"/>
      <c r="AD15" s="468"/>
    </row>
    <row r="16" spans="1:30" ht="15.75" thickBot="1" x14ac:dyDescent="0.3">
      <c r="A16" s="485"/>
      <c r="B16" s="485"/>
      <c r="C16" s="485"/>
      <c r="D16" s="485" t="s">
        <v>252</v>
      </c>
      <c r="E16" s="485"/>
      <c r="F16" s="485"/>
      <c r="G16" s="485"/>
      <c r="H16" s="313">
        <v>10484.469999999999</v>
      </c>
      <c r="I16" s="312"/>
      <c r="J16" s="313">
        <v>33781.300000000003</v>
      </c>
      <c r="K16" s="312"/>
      <c r="L16" s="313">
        <v>28641.05</v>
      </c>
      <c r="M16" s="312"/>
      <c r="N16" s="313">
        <v>28987.16</v>
      </c>
      <c r="O16" s="312"/>
      <c r="P16" s="313">
        <v>51353.279999999999</v>
      </c>
      <c r="Q16" s="312"/>
      <c r="R16" s="313">
        <v>37304.65</v>
      </c>
      <c r="S16" s="312"/>
      <c r="T16" s="313">
        <v>30654.11</v>
      </c>
      <c r="U16" s="312"/>
      <c r="V16" s="313">
        <v>37960.559999999998</v>
      </c>
      <c r="W16" s="312"/>
      <c r="X16" s="313">
        <v>60044.06</v>
      </c>
      <c r="Y16" s="312"/>
      <c r="Z16" s="313">
        <v>57643.89</v>
      </c>
      <c r="AA16" s="312"/>
      <c r="AB16" s="313">
        <v>32093.19</v>
      </c>
      <c r="AC16" s="312"/>
      <c r="AD16" s="313">
        <v>17656.689999999999</v>
      </c>
    </row>
    <row r="17" spans="1:30" x14ac:dyDescent="0.25">
      <c r="A17" s="485"/>
      <c r="B17" s="485"/>
      <c r="C17" s="485" t="s">
        <v>253</v>
      </c>
      <c r="D17" s="485"/>
      <c r="E17" s="485"/>
      <c r="F17" s="485"/>
      <c r="G17" s="485"/>
      <c r="H17" s="468">
        <f>ROUND(SUM(H15:H16),5)</f>
        <v>10484.469999999999</v>
      </c>
      <c r="I17" s="312"/>
      <c r="J17" s="468">
        <f>ROUND(SUM(J15:J16),5)</f>
        <v>33781.300000000003</v>
      </c>
      <c r="K17" s="312"/>
      <c r="L17" s="468">
        <f>ROUND(SUM(L15:L16),5)</f>
        <v>28641.05</v>
      </c>
      <c r="M17" s="312"/>
      <c r="N17" s="468">
        <f>ROUND(SUM(N15:N16),5)</f>
        <v>28987.16</v>
      </c>
      <c r="O17" s="312"/>
      <c r="P17" s="468">
        <f>ROUND(SUM(P15:P16),5)</f>
        <v>51353.279999999999</v>
      </c>
      <c r="Q17" s="312"/>
      <c r="R17" s="468">
        <f>ROUND(SUM(R15:R16),5)</f>
        <v>37304.65</v>
      </c>
      <c r="S17" s="312"/>
      <c r="T17" s="468">
        <f>ROUND(SUM(T15:T16),5)</f>
        <v>30654.11</v>
      </c>
      <c r="U17" s="312"/>
      <c r="V17" s="468">
        <f>ROUND(SUM(V15:V16),5)</f>
        <v>37960.559999999998</v>
      </c>
      <c r="W17" s="312"/>
      <c r="X17" s="468">
        <f>ROUND(SUM(X15:X16),5)</f>
        <v>60044.06</v>
      </c>
      <c r="Y17" s="312"/>
      <c r="Z17" s="468">
        <f>ROUND(SUM(Z15:Z16),5)</f>
        <v>57643.89</v>
      </c>
      <c r="AA17" s="312"/>
      <c r="AB17" s="468">
        <f>ROUND(SUM(AB15:AB16),5)</f>
        <v>32093.19</v>
      </c>
      <c r="AC17" s="312"/>
      <c r="AD17" s="468">
        <f>ROUND(SUM(AD15:AD16),5)</f>
        <v>17656.689999999999</v>
      </c>
    </row>
    <row r="18" spans="1:30" x14ac:dyDescent="0.25">
      <c r="A18" s="485"/>
      <c r="B18" s="485"/>
      <c r="C18" s="485" t="s">
        <v>254</v>
      </c>
      <c r="D18" s="485"/>
      <c r="E18" s="485"/>
      <c r="F18" s="485"/>
      <c r="G18" s="485"/>
      <c r="H18" s="468"/>
      <c r="I18" s="312"/>
      <c r="J18" s="468"/>
      <c r="K18" s="312"/>
      <c r="L18" s="468"/>
      <c r="M18" s="312"/>
      <c r="N18" s="468"/>
      <c r="O18" s="312"/>
      <c r="P18" s="468"/>
      <c r="Q18" s="312"/>
      <c r="R18" s="468"/>
      <c r="S18" s="312"/>
      <c r="T18" s="468"/>
      <c r="U18" s="312"/>
      <c r="V18" s="468"/>
      <c r="W18" s="312"/>
      <c r="X18" s="468"/>
      <c r="Y18" s="312"/>
      <c r="Z18" s="468"/>
      <c r="AA18" s="312"/>
      <c r="AB18" s="468"/>
      <c r="AC18" s="312"/>
      <c r="AD18" s="468"/>
    </row>
    <row r="19" spans="1:30" x14ac:dyDescent="0.25">
      <c r="A19" s="485"/>
      <c r="B19" s="485"/>
      <c r="C19" s="485"/>
      <c r="D19" s="485" t="s">
        <v>255</v>
      </c>
      <c r="E19" s="485"/>
      <c r="F19" s="485"/>
      <c r="G19" s="485"/>
      <c r="H19" s="468">
        <v>1598.77</v>
      </c>
      <c r="I19" s="312"/>
      <c r="J19" s="468">
        <v>1818.13</v>
      </c>
      <c r="K19" s="312"/>
      <c r="L19" s="468">
        <v>1806.86</v>
      </c>
      <c r="M19" s="312"/>
      <c r="N19" s="468">
        <v>1788.86</v>
      </c>
      <c r="O19" s="312"/>
      <c r="P19" s="468">
        <v>3167.98</v>
      </c>
      <c r="Q19" s="312"/>
      <c r="R19" s="468">
        <v>3000.56</v>
      </c>
      <c r="S19" s="312"/>
      <c r="T19" s="468">
        <v>2976.91</v>
      </c>
      <c r="U19" s="312"/>
      <c r="V19" s="468">
        <v>3446.91</v>
      </c>
      <c r="W19" s="312"/>
      <c r="X19" s="468">
        <v>3422.95</v>
      </c>
      <c r="Y19" s="312"/>
      <c r="Z19" s="468">
        <v>3414.84</v>
      </c>
      <c r="AA19" s="312"/>
      <c r="AB19" s="468">
        <v>3405.51</v>
      </c>
      <c r="AC19" s="312"/>
      <c r="AD19" s="468">
        <v>3405.51</v>
      </c>
    </row>
    <row r="20" spans="1:30" x14ac:dyDescent="0.25">
      <c r="A20" s="485"/>
      <c r="B20" s="485"/>
      <c r="C20" s="485"/>
      <c r="D20" s="485" t="s">
        <v>256</v>
      </c>
      <c r="E20" s="485"/>
      <c r="F20" s="485"/>
      <c r="G20" s="485"/>
      <c r="H20" s="468">
        <v>900</v>
      </c>
      <c r="I20" s="312"/>
      <c r="J20" s="468">
        <v>900</v>
      </c>
      <c r="K20" s="312"/>
      <c r="L20" s="468">
        <v>0</v>
      </c>
      <c r="M20" s="312"/>
      <c r="N20" s="468">
        <v>0</v>
      </c>
      <c r="O20" s="312"/>
      <c r="P20" s="468">
        <v>0</v>
      </c>
      <c r="Q20" s="312"/>
      <c r="R20" s="468">
        <v>0</v>
      </c>
      <c r="S20" s="312"/>
      <c r="T20" s="468">
        <v>0</v>
      </c>
      <c r="U20" s="312"/>
      <c r="V20" s="468">
        <v>0</v>
      </c>
      <c r="W20" s="312"/>
      <c r="X20" s="468">
        <v>0</v>
      </c>
      <c r="Y20" s="312"/>
      <c r="Z20" s="468">
        <v>0</v>
      </c>
      <c r="AA20" s="312"/>
      <c r="AB20" s="468">
        <v>0</v>
      </c>
      <c r="AC20" s="312"/>
      <c r="AD20" s="468">
        <v>0</v>
      </c>
    </row>
    <row r="21" spans="1:30" x14ac:dyDescent="0.25">
      <c r="A21" s="485"/>
      <c r="B21" s="485"/>
      <c r="C21" s="485"/>
      <c r="D21" s="485" t="s">
        <v>257</v>
      </c>
      <c r="E21" s="485"/>
      <c r="F21" s="485"/>
      <c r="G21" s="485"/>
      <c r="H21" s="468">
        <v>0</v>
      </c>
      <c r="I21" s="312"/>
      <c r="J21" s="468">
        <v>0</v>
      </c>
      <c r="K21" s="312"/>
      <c r="L21" s="468">
        <v>0</v>
      </c>
      <c r="M21" s="312"/>
      <c r="N21" s="468">
        <v>0</v>
      </c>
      <c r="O21" s="312"/>
      <c r="P21" s="468">
        <v>0</v>
      </c>
      <c r="Q21" s="312"/>
      <c r="R21" s="468">
        <v>0</v>
      </c>
      <c r="S21" s="312"/>
      <c r="T21" s="468">
        <v>0</v>
      </c>
      <c r="U21" s="312"/>
      <c r="V21" s="468">
        <v>0</v>
      </c>
      <c r="W21" s="312"/>
      <c r="X21" s="468">
        <v>0</v>
      </c>
      <c r="Y21" s="312"/>
      <c r="Z21" s="468">
        <v>-422.11</v>
      </c>
      <c r="AA21" s="312"/>
      <c r="AB21" s="468">
        <v>-844.22</v>
      </c>
      <c r="AC21" s="312"/>
      <c r="AD21" s="468">
        <v>-844.22</v>
      </c>
    </row>
    <row r="22" spans="1:30" x14ac:dyDescent="0.25">
      <c r="A22" s="485"/>
      <c r="B22" s="485"/>
      <c r="C22" s="485"/>
      <c r="D22" s="485" t="s">
        <v>258</v>
      </c>
      <c r="E22" s="485"/>
      <c r="F22" s="485"/>
      <c r="G22" s="485"/>
      <c r="H22" s="468">
        <v>0</v>
      </c>
      <c r="I22" s="312"/>
      <c r="J22" s="468">
        <v>6477.75</v>
      </c>
      <c r="K22" s="312"/>
      <c r="L22" s="468">
        <v>2138.75</v>
      </c>
      <c r="M22" s="312"/>
      <c r="N22" s="468">
        <v>0</v>
      </c>
      <c r="O22" s="312"/>
      <c r="P22" s="468">
        <v>4904</v>
      </c>
      <c r="Q22" s="312"/>
      <c r="R22" s="468">
        <v>0</v>
      </c>
      <c r="S22" s="312"/>
      <c r="T22" s="468">
        <v>1150</v>
      </c>
      <c r="U22" s="312"/>
      <c r="V22" s="468">
        <v>200</v>
      </c>
      <c r="W22" s="312"/>
      <c r="X22" s="468">
        <v>1899.96</v>
      </c>
      <c r="Y22" s="312"/>
      <c r="Z22" s="468">
        <v>0</v>
      </c>
      <c r="AA22" s="312"/>
      <c r="AB22" s="468">
        <v>0</v>
      </c>
      <c r="AC22" s="312"/>
      <c r="AD22" s="468">
        <v>0</v>
      </c>
    </row>
    <row r="23" spans="1:30" x14ac:dyDescent="0.25">
      <c r="A23" s="485"/>
      <c r="B23" s="485"/>
      <c r="C23" s="485"/>
      <c r="D23" s="485" t="s">
        <v>259</v>
      </c>
      <c r="E23" s="485"/>
      <c r="F23" s="485"/>
      <c r="G23" s="485"/>
      <c r="H23" s="468"/>
      <c r="I23" s="312"/>
      <c r="J23" s="468"/>
      <c r="K23" s="312"/>
      <c r="L23" s="468"/>
      <c r="M23" s="312"/>
      <c r="N23" s="468"/>
      <c r="O23" s="312"/>
      <c r="P23" s="468"/>
      <c r="Q23" s="312"/>
      <c r="R23" s="468"/>
      <c r="S23" s="312"/>
      <c r="T23" s="468"/>
      <c r="U23" s="312"/>
      <c r="V23" s="468"/>
      <c r="W23" s="312"/>
      <c r="X23" s="468"/>
      <c r="Y23" s="312"/>
      <c r="Z23" s="468"/>
      <c r="AA23" s="312"/>
      <c r="AB23" s="468"/>
      <c r="AC23" s="312"/>
      <c r="AD23" s="468"/>
    </row>
    <row r="24" spans="1:30" x14ac:dyDescent="0.25">
      <c r="A24" s="485"/>
      <c r="B24" s="485"/>
      <c r="C24" s="485"/>
      <c r="D24" s="485"/>
      <c r="E24" s="485" t="s">
        <v>260</v>
      </c>
      <c r="F24" s="485"/>
      <c r="G24" s="485"/>
      <c r="H24" s="468">
        <v>14674.61</v>
      </c>
      <c r="I24" s="312"/>
      <c r="J24" s="468">
        <v>33225.56</v>
      </c>
      <c r="K24" s="312"/>
      <c r="L24" s="468">
        <v>51029.66</v>
      </c>
      <c r="M24" s="312"/>
      <c r="N24" s="468">
        <v>69295.27</v>
      </c>
      <c r="O24" s="312"/>
      <c r="P24" s="468">
        <v>12450.05</v>
      </c>
      <c r="Q24" s="312"/>
      <c r="R24" s="468">
        <v>33872.79</v>
      </c>
      <c r="S24" s="312"/>
      <c r="T24" s="468">
        <v>58432.51</v>
      </c>
      <c r="U24" s="312"/>
      <c r="V24" s="468">
        <v>83826.03</v>
      </c>
      <c r="W24" s="312"/>
      <c r="X24" s="468">
        <v>106424.58</v>
      </c>
      <c r="Y24" s="312"/>
      <c r="Z24" s="468">
        <v>64993.99</v>
      </c>
      <c r="AA24" s="312"/>
      <c r="AB24" s="468">
        <v>91703.33</v>
      </c>
      <c r="AC24" s="312"/>
      <c r="AD24" s="468">
        <v>51746.92</v>
      </c>
    </row>
    <row r="25" spans="1:30" ht="15.75" thickBot="1" x14ac:dyDescent="0.3">
      <c r="A25" s="485"/>
      <c r="B25" s="485"/>
      <c r="C25" s="485"/>
      <c r="D25" s="485"/>
      <c r="E25" s="485" t="s">
        <v>261</v>
      </c>
      <c r="F25" s="485"/>
      <c r="G25" s="485"/>
      <c r="H25" s="313">
        <v>15561.66</v>
      </c>
      <c r="I25" s="312"/>
      <c r="J25" s="313">
        <v>26623.439999999999</v>
      </c>
      <c r="K25" s="312"/>
      <c r="L25" s="313">
        <v>37563.910000000003</v>
      </c>
      <c r="M25" s="312"/>
      <c r="N25" s="313">
        <v>53971.29</v>
      </c>
      <c r="O25" s="312"/>
      <c r="P25" s="313">
        <v>41590.07</v>
      </c>
      <c r="Q25" s="312"/>
      <c r="R25" s="313">
        <v>45792.79</v>
      </c>
      <c r="S25" s="312"/>
      <c r="T25" s="313">
        <v>39718.04</v>
      </c>
      <c r="U25" s="312"/>
      <c r="V25" s="313">
        <v>31543.97</v>
      </c>
      <c r="W25" s="312"/>
      <c r="X25" s="313">
        <v>37428.03</v>
      </c>
      <c r="Y25" s="312"/>
      <c r="Z25" s="313">
        <v>23715.43</v>
      </c>
      <c r="AA25" s="312"/>
      <c r="AB25" s="313">
        <v>20822.849999999999</v>
      </c>
      <c r="AC25" s="312"/>
      <c r="AD25" s="313">
        <v>21734.82</v>
      </c>
    </row>
    <row r="26" spans="1:30" x14ac:dyDescent="0.25">
      <c r="A26" s="485"/>
      <c r="B26" s="485"/>
      <c r="C26" s="485"/>
      <c r="D26" s="485" t="s">
        <v>262</v>
      </c>
      <c r="E26" s="485"/>
      <c r="F26" s="485"/>
      <c r="G26" s="485"/>
      <c r="H26" s="468">
        <f>ROUND(SUM(H23:H25),5)</f>
        <v>30236.27</v>
      </c>
      <c r="I26" s="312"/>
      <c r="J26" s="468">
        <f>ROUND(SUM(J23:J25),5)</f>
        <v>59849</v>
      </c>
      <c r="K26" s="312"/>
      <c r="L26" s="468">
        <f>ROUND(SUM(L23:L25),5)</f>
        <v>88593.57</v>
      </c>
      <c r="M26" s="312"/>
      <c r="N26" s="468">
        <f>ROUND(SUM(N23:N25),5)</f>
        <v>123266.56</v>
      </c>
      <c r="O26" s="312"/>
      <c r="P26" s="468">
        <f>ROUND(SUM(P23:P25),5)</f>
        <v>54040.12</v>
      </c>
      <c r="Q26" s="312"/>
      <c r="R26" s="468">
        <f>ROUND(SUM(R23:R25),5)</f>
        <v>79665.58</v>
      </c>
      <c r="S26" s="312"/>
      <c r="T26" s="468">
        <f>ROUND(SUM(T23:T25),5)</f>
        <v>98150.55</v>
      </c>
      <c r="U26" s="312"/>
      <c r="V26" s="468">
        <f>ROUND(SUM(V23:V25),5)</f>
        <v>115370</v>
      </c>
      <c r="W26" s="312"/>
      <c r="X26" s="468">
        <f>ROUND(SUM(X23:X25),5)</f>
        <v>143852.60999999999</v>
      </c>
      <c r="Y26" s="312"/>
      <c r="Z26" s="468">
        <f>ROUND(SUM(Z23:Z25),5)</f>
        <v>88709.42</v>
      </c>
      <c r="AA26" s="312"/>
      <c r="AB26" s="468">
        <f>ROUND(SUM(AB23:AB25),5)</f>
        <v>112526.18</v>
      </c>
      <c r="AC26" s="312"/>
      <c r="AD26" s="468">
        <f>ROUND(SUM(AD23:AD25),5)</f>
        <v>73481.740000000005</v>
      </c>
    </row>
    <row r="27" spans="1:30" x14ac:dyDescent="0.25">
      <c r="A27" s="485"/>
      <c r="B27" s="485"/>
      <c r="C27" s="485"/>
      <c r="D27" s="485" t="s">
        <v>263</v>
      </c>
      <c r="E27" s="485"/>
      <c r="F27" s="485"/>
      <c r="G27" s="485"/>
      <c r="H27" s="468">
        <v>2863.4</v>
      </c>
      <c r="I27" s="312"/>
      <c r="J27" s="468">
        <v>2311.4299999999998</v>
      </c>
      <c r="K27" s="312"/>
      <c r="L27" s="468">
        <v>4792.93</v>
      </c>
      <c r="M27" s="312"/>
      <c r="N27" s="468">
        <v>11986.45</v>
      </c>
      <c r="O27" s="312"/>
      <c r="P27" s="468">
        <v>11974.34</v>
      </c>
      <c r="Q27" s="312"/>
      <c r="R27" s="468">
        <v>11481.01</v>
      </c>
      <c r="S27" s="312"/>
      <c r="T27" s="468">
        <v>12661.77</v>
      </c>
      <c r="U27" s="312"/>
      <c r="V27" s="468">
        <v>13798.43</v>
      </c>
      <c r="W27" s="312"/>
      <c r="X27" s="468">
        <v>14519.86</v>
      </c>
      <c r="Y27" s="312"/>
      <c r="Z27" s="468">
        <v>6813.14</v>
      </c>
      <c r="AA27" s="312"/>
      <c r="AB27" s="468">
        <v>6712.33</v>
      </c>
      <c r="AC27" s="312"/>
      <c r="AD27" s="468">
        <v>6145.92</v>
      </c>
    </row>
    <row r="28" spans="1:30" ht="15.75" thickBot="1" x14ac:dyDescent="0.3">
      <c r="A28" s="485"/>
      <c r="B28" s="485"/>
      <c r="C28" s="485"/>
      <c r="D28" s="485" t="s">
        <v>264</v>
      </c>
      <c r="E28" s="485"/>
      <c r="F28" s="485"/>
      <c r="G28" s="485"/>
      <c r="H28" s="467">
        <v>19713.990000000002</v>
      </c>
      <c r="I28" s="312"/>
      <c r="J28" s="467">
        <v>19137.41</v>
      </c>
      <c r="K28" s="312"/>
      <c r="L28" s="467">
        <v>19419.29</v>
      </c>
      <c r="M28" s="312"/>
      <c r="N28" s="467">
        <v>24127.21</v>
      </c>
      <c r="O28" s="312"/>
      <c r="P28" s="467">
        <v>19463.560000000001</v>
      </c>
      <c r="Q28" s="312"/>
      <c r="R28" s="467">
        <v>18591.47</v>
      </c>
      <c r="S28" s="312"/>
      <c r="T28" s="467">
        <v>20550.88</v>
      </c>
      <c r="U28" s="312"/>
      <c r="V28" s="467">
        <v>20195.7</v>
      </c>
      <c r="W28" s="312"/>
      <c r="X28" s="467">
        <v>20869.84</v>
      </c>
      <c r="Y28" s="312"/>
      <c r="Z28" s="467">
        <v>20146.560000000001</v>
      </c>
      <c r="AA28" s="312"/>
      <c r="AB28" s="467">
        <v>16896.689999999999</v>
      </c>
      <c r="AC28" s="312"/>
      <c r="AD28" s="467">
        <v>16306.24</v>
      </c>
    </row>
    <row r="29" spans="1:30" ht="15.75" thickBot="1" x14ac:dyDescent="0.3">
      <c r="A29" s="485"/>
      <c r="B29" s="485"/>
      <c r="C29" s="485" t="s">
        <v>265</v>
      </c>
      <c r="D29" s="485"/>
      <c r="E29" s="485"/>
      <c r="F29" s="485"/>
      <c r="G29" s="485"/>
      <c r="H29" s="314">
        <f>ROUND(SUM(H18:H22)+SUM(H26:H28),5)</f>
        <v>55312.43</v>
      </c>
      <c r="I29" s="312"/>
      <c r="J29" s="314">
        <f>ROUND(SUM(J18:J22)+SUM(J26:J28),5)</f>
        <v>90493.72</v>
      </c>
      <c r="K29" s="312"/>
      <c r="L29" s="314">
        <f>ROUND(SUM(L18:L22)+SUM(L26:L28),5)</f>
        <v>116751.4</v>
      </c>
      <c r="M29" s="312"/>
      <c r="N29" s="314">
        <f>ROUND(SUM(N18:N22)+SUM(N26:N28),5)</f>
        <v>161169.07999999999</v>
      </c>
      <c r="O29" s="312"/>
      <c r="P29" s="314">
        <f>ROUND(SUM(P18:P22)+SUM(P26:P28),5)</f>
        <v>93550</v>
      </c>
      <c r="Q29" s="312"/>
      <c r="R29" s="314">
        <f>ROUND(SUM(R18:R22)+SUM(R26:R28),5)</f>
        <v>112738.62</v>
      </c>
      <c r="S29" s="312"/>
      <c r="T29" s="314">
        <f>ROUND(SUM(T18:T22)+SUM(T26:T28),5)</f>
        <v>135490.10999999999</v>
      </c>
      <c r="U29" s="312"/>
      <c r="V29" s="314">
        <f>ROUND(SUM(V18:V22)+SUM(V26:V28),5)</f>
        <v>153011.04</v>
      </c>
      <c r="W29" s="312"/>
      <c r="X29" s="314">
        <f>ROUND(SUM(X18:X22)+SUM(X26:X28),5)</f>
        <v>184565.22</v>
      </c>
      <c r="Y29" s="312"/>
      <c r="Z29" s="314">
        <f>ROUND(SUM(Z18:Z22)+SUM(Z26:Z28),5)</f>
        <v>118661.85</v>
      </c>
      <c r="AA29" s="312"/>
      <c r="AB29" s="314">
        <f>ROUND(SUM(AB18:AB22)+SUM(AB26:AB28),5)</f>
        <v>138696.49</v>
      </c>
      <c r="AC29" s="312"/>
      <c r="AD29" s="314">
        <f>ROUND(SUM(AD18:AD22)+SUM(AD26:AD28),5)</f>
        <v>98495.19</v>
      </c>
    </row>
    <row r="30" spans="1:30" x14ac:dyDescent="0.25">
      <c r="A30" s="485"/>
      <c r="B30" s="485" t="s">
        <v>266</v>
      </c>
      <c r="C30" s="485"/>
      <c r="D30" s="485"/>
      <c r="E30" s="485"/>
      <c r="F30" s="485"/>
      <c r="G30" s="485"/>
      <c r="H30" s="468">
        <f>ROUND(H3+H14+H17+H29,5)</f>
        <v>260603.44</v>
      </c>
      <c r="I30" s="312"/>
      <c r="J30" s="468">
        <f>ROUND(J3+J14+J17+J29,5)</f>
        <v>309011.32</v>
      </c>
      <c r="K30" s="312"/>
      <c r="L30" s="468">
        <f>ROUND(L3+L14+L17+L29,5)</f>
        <v>308592.73</v>
      </c>
      <c r="M30" s="312"/>
      <c r="N30" s="468">
        <f>ROUND(N3+N14+N17+N29,5)</f>
        <v>313291.52000000002</v>
      </c>
      <c r="O30" s="312"/>
      <c r="P30" s="468">
        <f>ROUND(P3+P14+P17+P29,5)</f>
        <v>339458.89</v>
      </c>
      <c r="Q30" s="312"/>
      <c r="R30" s="468">
        <f>ROUND(R3+R14+R17+R29,5)</f>
        <v>319291.21999999997</v>
      </c>
      <c r="S30" s="312"/>
      <c r="T30" s="468">
        <f>ROUND(T3+T14+T17+T29,5)</f>
        <v>308286.52</v>
      </c>
      <c r="U30" s="312"/>
      <c r="V30" s="468">
        <f>ROUND(V3+V14+V17+V29,5)</f>
        <v>323086.34999999998</v>
      </c>
      <c r="W30" s="312"/>
      <c r="X30" s="468">
        <f>ROUND(X3+X14+X17+X29,5)</f>
        <v>308042.08</v>
      </c>
      <c r="Y30" s="312"/>
      <c r="Z30" s="468">
        <f>ROUND(Z3+Z14+Z17+Z29,5)</f>
        <v>287053.78000000003</v>
      </c>
      <c r="AA30" s="312"/>
      <c r="AB30" s="468">
        <f>ROUND(AB3+AB14+AB17+AB29,5)</f>
        <v>273223.99</v>
      </c>
      <c r="AC30" s="312"/>
      <c r="AD30" s="468">
        <f>ROUND(AD3+AD14+AD17+AD29,5)</f>
        <v>259832.86</v>
      </c>
    </row>
    <row r="31" spans="1:30" x14ac:dyDescent="0.25">
      <c r="A31" s="485"/>
      <c r="B31" s="485" t="s">
        <v>267</v>
      </c>
      <c r="C31" s="485"/>
      <c r="D31" s="485"/>
      <c r="E31" s="485"/>
      <c r="F31" s="485"/>
      <c r="G31" s="485"/>
      <c r="H31" s="468"/>
      <c r="I31" s="312"/>
      <c r="J31" s="468"/>
      <c r="K31" s="312"/>
      <c r="L31" s="468"/>
      <c r="M31" s="312"/>
      <c r="N31" s="468"/>
      <c r="O31" s="312"/>
      <c r="P31" s="468"/>
      <c r="Q31" s="312"/>
      <c r="R31" s="468"/>
      <c r="S31" s="312"/>
      <c r="T31" s="468"/>
      <c r="U31" s="312"/>
      <c r="V31" s="468"/>
      <c r="W31" s="312"/>
      <c r="X31" s="468"/>
      <c r="Y31" s="312"/>
      <c r="Z31" s="468"/>
      <c r="AA31" s="312"/>
      <c r="AB31" s="468"/>
      <c r="AC31" s="312"/>
      <c r="AD31" s="468"/>
    </row>
    <row r="32" spans="1:30" x14ac:dyDescent="0.25">
      <c r="A32" s="485"/>
      <c r="B32" s="485"/>
      <c r="C32" s="485" t="s">
        <v>268</v>
      </c>
      <c r="D32" s="485"/>
      <c r="E32" s="485"/>
      <c r="F32" s="485"/>
      <c r="G32" s="485"/>
      <c r="H32" s="468">
        <v>3807</v>
      </c>
      <c r="I32" s="312"/>
      <c r="J32" s="468">
        <v>3807</v>
      </c>
      <c r="K32" s="312"/>
      <c r="L32" s="468">
        <v>3807</v>
      </c>
      <c r="M32" s="312"/>
      <c r="N32" s="468">
        <v>3807</v>
      </c>
      <c r="O32" s="312"/>
      <c r="P32" s="468">
        <v>3807</v>
      </c>
      <c r="Q32" s="312"/>
      <c r="R32" s="468">
        <v>3807</v>
      </c>
      <c r="S32" s="312"/>
      <c r="T32" s="468">
        <v>3807</v>
      </c>
      <c r="U32" s="312"/>
      <c r="V32" s="468">
        <v>3807</v>
      </c>
      <c r="W32" s="312"/>
      <c r="X32" s="468">
        <v>3807</v>
      </c>
      <c r="Y32" s="312"/>
      <c r="Z32" s="468">
        <v>3807</v>
      </c>
      <c r="AA32" s="312"/>
      <c r="AB32" s="468">
        <v>3807</v>
      </c>
      <c r="AC32" s="312"/>
      <c r="AD32" s="468">
        <v>3807</v>
      </c>
    </row>
    <row r="33" spans="1:30" x14ac:dyDescent="0.25">
      <c r="A33" s="485"/>
      <c r="B33" s="485"/>
      <c r="C33" s="485" t="s">
        <v>269</v>
      </c>
      <c r="D33" s="485"/>
      <c r="E33" s="485"/>
      <c r="F33" s="485"/>
      <c r="G33" s="485"/>
      <c r="H33" s="468">
        <v>0</v>
      </c>
      <c r="I33" s="312"/>
      <c r="J33" s="468">
        <v>0</v>
      </c>
      <c r="K33" s="312"/>
      <c r="L33" s="468">
        <v>0</v>
      </c>
      <c r="M33" s="312"/>
      <c r="N33" s="468">
        <v>0</v>
      </c>
      <c r="O33" s="312"/>
      <c r="P33" s="468">
        <v>0</v>
      </c>
      <c r="Q33" s="312"/>
      <c r="R33" s="468">
        <v>0</v>
      </c>
      <c r="S33" s="312"/>
      <c r="T33" s="468">
        <v>0</v>
      </c>
      <c r="U33" s="312"/>
      <c r="V33" s="468">
        <v>0</v>
      </c>
      <c r="W33" s="312"/>
      <c r="X33" s="468">
        <v>72.28</v>
      </c>
      <c r="Y33" s="312"/>
      <c r="Z33" s="468">
        <v>0</v>
      </c>
      <c r="AA33" s="312"/>
      <c r="AB33" s="468">
        <v>0</v>
      </c>
      <c r="AC33" s="312"/>
      <c r="AD33" s="468">
        <v>0</v>
      </c>
    </row>
    <row r="34" spans="1:30" ht="15.75" thickBot="1" x14ac:dyDescent="0.3">
      <c r="A34" s="485"/>
      <c r="B34" s="485"/>
      <c r="C34" s="485" t="s">
        <v>270</v>
      </c>
      <c r="D34" s="485"/>
      <c r="E34" s="485"/>
      <c r="F34" s="485"/>
      <c r="G34" s="485"/>
      <c r="H34" s="313">
        <v>-3807</v>
      </c>
      <c r="I34" s="312"/>
      <c r="J34" s="313">
        <v>-3807</v>
      </c>
      <c r="K34" s="312"/>
      <c r="L34" s="313">
        <v>-3807</v>
      </c>
      <c r="M34" s="312"/>
      <c r="N34" s="313">
        <v>-3807</v>
      </c>
      <c r="O34" s="312"/>
      <c r="P34" s="313">
        <v>-3807</v>
      </c>
      <c r="Q34" s="312"/>
      <c r="R34" s="313">
        <v>-3807</v>
      </c>
      <c r="S34" s="312"/>
      <c r="T34" s="313">
        <v>-3807</v>
      </c>
      <c r="U34" s="312"/>
      <c r="V34" s="313">
        <v>-3807</v>
      </c>
      <c r="W34" s="312"/>
      <c r="X34" s="313">
        <v>-3807</v>
      </c>
      <c r="Y34" s="312"/>
      <c r="Z34" s="313">
        <v>-3807</v>
      </c>
      <c r="AA34" s="312"/>
      <c r="AB34" s="313">
        <v>-3807</v>
      </c>
      <c r="AC34" s="312"/>
      <c r="AD34" s="313">
        <v>-3807</v>
      </c>
    </row>
    <row r="35" spans="1:30" x14ac:dyDescent="0.25">
      <c r="A35" s="485"/>
      <c r="B35" s="485" t="s">
        <v>271</v>
      </c>
      <c r="C35" s="485"/>
      <c r="D35" s="485"/>
      <c r="E35" s="485"/>
      <c r="F35" s="485"/>
      <c r="G35" s="485"/>
      <c r="H35" s="468">
        <f>ROUND(SUM(H31:H34),5)</f>
        <v>0</v>
      </c>
      <c r="I35" s="312"/>
      <c r="J35" s="468">
        <f>ROUND(SUM(J31:J34),5)</f>
        <v>0</v>
      </c>
      <c r="K35" s="312"/>
      <c r="L35" s="468">
        <f>ROUND(SUM(L31:L34),5)</f>
        <v>0</v>
      </c>
      <c r="M35" s="312"/>
      <c r="N35" s="468">
        <f>ROUND(SUM(N31:N34),5)</f>
        <v>0</v>
      </c>
      <c r="O35" s="312"/>
      <c r="P35" s="468">
        <f>ROUND(SUM(P31:P34),5)</f>
        <v>0</v>
      </c>
      <c r="Q35" s="312"/>
      <c r="R35" s="468">
        <f>ROUND(SUM(R31:R34),5)</f>
        <v>0</v>
      </c>
      <c r="S35" s="312"/>
      <c r="T35" s="468">
        <f>ROUND(SUM(T31:T34),5)</f>
        <v>0</v>
      </c>
      <c r="U35" s="312"/>
      <c r="V35" s="468">
        <f>ROUND(SUM(V31:V34),5)</f>
        <v>0</v>
      </c>
      <c r="W35" s="312"/>
      <c r="X35" s="468">
        <f>ROUND(SUM(X31:X34),5)</f>
        <v>72.28</v>
      </c>
      <c r="Y35" s="312"/>
      <c r="Z35" s="468">
        <f>ROUND(SUM(Z31:Z34),5)</f>
        <v>0</v>
      </c>
      <c r="AA35" s="312"/>
      <c r="AB35" s="468">
        <f>ROUND(SUM(AB31:AB34),5)</f>
        <v>0</v>
      </c>
      <c r="AC35" s="312"/>
      <c r="AD35" s="468">
        <f>ROUND(SUM(AD31:AD34),5)</f>
        <v>0</v>
      </c>
    </row>
    <row r="36" spans="1:30" x14ac:dyDescent="0.25">
      <c r="A36" s="485"/>
      <c r="B36" s="485" t="s">
        <v>272</v>
      </c>
      <c r="C36" s="485"/>
      <c r="D36" s="485"/>
      <c r="E36" s="485"/>
      <c r="F36" s="485"/>
      <c r="G36" s="485"/>
      <c r="H36" s="468"/>
      <c r="I36" s="312"/>
      <c r="J36" s="468"/>
      <c r="K36" s="312"/>
      <c r="L36" s="468"/>
      <c r="M36" s="312"/>
      <c r="N36" s="468"/>
      <c r="O36" s="312"/>
      <c r="P36" s="468"/>
      <c r="Q36" s="312"/>
      <c r="R36" s="468"/>
      <c r="S36" s="312"/>
      <c r="T36" s="468"/>
      <c r="U36" s="312"/>
      <c r="V36" s="468"/>
      <c r="W36" s="312"/>
      <c r="X36" s="468"/>
      <c r="Y36" s="312"/>
      <c r="Z36" s="468"/>
      <c r="AA36" s="312"/>
      <c r="AB36" s="468"/>
      <c r="AC36" s="312"/>
      <c r="AD36" s="468"/>
    </row>
    <row r="37" spans="1:30" ht="15.75" thickBot="1" x14ac:dyDescent="0.3">
      <c r="A37" s="485"/>
      <c r="B37" s="485"/>
      <c r="C37" s="485" t="s">
        <v>273</v>
      </c>
      <c r="D37" s="485"/>
      <c r="E37" s="485"/>
      <c r="F37" s="485"/>
      <c r="G37" s="485"/>
      <c r="H37" s="467">
        <v>2698.25</v>
      </c>
      <c r="I37" s="312"/>
      <c r="J37" s="467">
        <v>2698.25</v>
      </c>
      <c r="K37" s="312"/>
      <c r="L37" s="467">
        <v>2698.25</v>
      </c>
      <c r="M37" s="312"/>
      <c r="N37" s="467">
        <v>2698.25</v>
      </c>
      <c r="O37" s="312"/>
      <c r="P37" s="467">
        <v>2698.25</v>
      </c>
      <c r="Q37" s="312"/>
      <c r="R37" s="467">
        <v>2698.25</v>
      </c>
      <c r="S37" s="312"/>
      <c r="T37" s="467">
        <v>2698.25</v>
      </c>
      <c r="U37" s="312"/>
      <c r="V37" s="467">
        <v>2698.25</v>
      </c>
      <c r="W37" s="312"/>
      <c r="X37" s="467">
        <v>2698.25</v>
      </c>
      <c r="Y37" s="312"/>
      <c r="Z37" s="467">
        <v>2698.25</v>
      </c>
      <c r="AA37" s="312"/>
      <c r="AB37" s="467">
        <v>2698.25</v>
      </c>
      <c r="AC37" s="312"/>
      <c r="AD37" s="467">
        <v>2698.25</v>
      </c>
    </row>
    <row r="38" spans="1:30" ht="15.75" thickBot="1" x14ac:dyDescent="0.3">
      <c r="A38" s="485"/>
      <c r="B38" s="485" t="s">
        <v>274</v>
      </c>
      <c r="C38" s="485"/>
      <c r="D38" s="485"/>
      <c r="E38" s="485"/>
      <c r="F38" s="485"/>
      <c r="G38" s="485"/>
      <c r="H38" s="315">
        <f>ROUND(SUM(H36:H37),5)</f>
        <v>2698.25</v>
      </c>
      <c r="I38" s="312"/>
      <c r="J38" s="315">
        <f>ROUND(SUM(J36:J37),5)</f>
        <v>2698.25</v>
      </c>
      <c r="K38" s="312"/>
      <c r="L38" s="315">
        <f>ROUND(SUM(L36:L37),5)</f>
        <v>2698.25</v>
      </c>
      <c r="M38" s="312"/>
      <c r="N38" s="315">
        <f>ROUND(SUM(N36:N37),5)</f>
        <v>2698.25</v>
      </c>
      <c r="O38" s="312"/>
      <c r="P38" s="315">
        <f>ROUND(SUM(P36:P37),5)</f>
        <v>2698.25</v>
      </c>
      <c r="Q38" s="312"/>
      <c r="R38" s="315">
        <f>ROUND(SUM(R36:R37),5)</f>
        <v>2698.25</v>
      </c>
      <c r="S38" s="312"/>
      <c r="T38" s="315">
        <f>ROUND(SUM(T36:T37),5)</f>
        <v>2698.25</v>
      </c>
      <c r="U38" s="312"/>
      <c r="V38" s="315">
        <f>ROUND(SUM(V36:V37),5)</f>
        <v>2698.25</v>
      </c>
      <c r="W38" s="312"/>
      <c r="X38" s="315">
        <f>ROUND(SUM(X36:X37),5)</f>
        <v>2698.25</v>
      </c>
      <c r="Y38" s="312"/>
      <c r="Z38" s="315">
        <f>ROUND(SUM(Z36:Z37),5)</f>
        <v>2698.25</v>
      </c>
      <c r="AA38" s="312"/>
      <c r="AB38" s="315">
        <f>ROUND(SUM(AB36:AB37),5)</f>
        <v>2698.25</v>
      </c>
      <c r="AC38" s="312"/>
      <c r="AD38" s="315">
        <f>ROUND(SUM(AD36:AD37),5)</f>
        <v>2698.25</v>
      </c>
    </row>
    <row r="39" spans="1:30" s="317" customFormat="1" ht="12" thickBot="1" x14ac:dyDescent="0.25">
      <c r="A39" s="485" t="s">
        <v>275</v>
      </c>
      <c r="B39" s="485"/>
      <c r="C39" s="485"/>
      <c r="D39" s="485"/>
      <c r="E39" s="485"/>
      <c r="F39" s="485"/>
      <c r="G39" s="485"/>
      <c r="H39" s="316">
        <f>ROUND(H2+H30+H35+H38,5)</f>
        <v>263301.69</v>
      </c>
      <c r="I39" s="485"/>
      <c r="J39" s="316">
        <f>ROUND(J2+J30+J35+J38,5)</f>
        <v>311709.57</v>
      </c>
      <c r="K39" s="485"/>
      <c r="L39" s="316">
        <f>ROUND(L2+L30+L35+L38,5)</f>
        <v>311290.98</v>
      </c>
      <c r="M39" s="485"/>
      <c r="N39" s="316">
        <f>ROUND(N2+N30+N35+N38,5)</f>
        <v>315989.77</v>
      </c>
      <c r="O39" s="485"/>
      <c r="P39" s="316">
        <f>ROUND(P2+P30+P35+P38,5)</f>
        <v>342157.14</v>
      </c>
      <c r="Q39" s="485"/>
      <c r="R39" s="316">
        <f>ROUND(R2+R30+R35+R38,5)</f>
        <v>321989.46999999997</v>
      </c>
      <c r="S39" s="485"/>
      <c r="T39" s="316">
        <f>ROUND(T2+T30+T35+T38,5)</f>
        <v>310984.77</v>
      </c>
      <c r="U39" s="485"/>
      <c r="V39" s="316">
        <f>ROUND(V2+V30+V35+V38,5)</f>
        <v>325784.59999999998</v>
      </c>
      <c r="W39" s="485"/>
      <c r="X39" s="316">
        <f>ROUND(X2+X30+X35+X38,5)</f>
        <v>310812.61</v>
      </c>
      <c r="Y39" s="485"/>
      <c r="Z39" s="316">
        <f>ROUND(Z2+Z30+Z35+Z38,5)</f>
        <v>289752.03000000003</v>
      </c>
      <c r="AA39" s="485"/>
      <c r="AB39" s="316">
        <f>ROUND(AB2+AB30+AB35+AB38,5)</f>
        <v>275922.24</v>
      </c>
      <c r="AC39" s="485"/>
      <c r="AD39" s="316">
        <f>ROUND(AD2+AD30+AD35+AD38,5)</f>
        <v>262531.11</v>
      </c>
    </row>
    <row r="40" spans="1:30" ht="15.75" thickTop="1" x14ac:dyDescent="0.25">
      <c r="A40" s="485" t="s">
        <v>276</v>
      </c>
      <c r="B40" s="485"/>
      <c r="C40" s="485"/>
      <c r="D40" s="485"/>
      <c r="E40" s="485"/>
      <c r="F40" s="485"/>
      <c r="G40" s="485"/>
      <c r="H40" s="468"/>
      <c r="I40" s="312"/>
      <c r="J40" s="468"/>
      <c r="K40" s="312"/>
      <c r="L40" s="468"/>
      <c r="M40" s="312"/>
      <c r="N40" s="468"/>
      <c r="O40" s="312"/>
      <c r="P40" s="468"/>
      <c r="Q40" s="312"/>
      <c r="R40" s="468"/>
      <c r="S40" s="312"/>
      <c r="T40" s="468"/>
      <c r="U40" s="312"/>
      <c r="V40" s="468"/>
      <c r="W40" s="312"/>
      <c r="X40" s="468"/>
      <c r="Y40" s="312"/>
      <c r="Z40" s="468"/>
      <c r="AA40" s="312"/>
      <c r="AB40" s="468"/>
      <c r="AC40" s="312"/>
      <c r="AD40" s="468"/>
    </row>
    <row r="41" spans="1:30" x14ac:dyDescent="0.25">
      <c r="A41" s="485"/>
      <c r="B41" s="485" t="s">
        <v>277</v>
      </c>
      <c r="C41" s="485"/>
      <c r="D41" s="485"/>
      <c r="E41" s="485"/>
      <c r="F41" s="485"/>
      <c r="G41" s="485"/>
      <c r="H41" s="468"/>
      <c r="I41" s="312"/>
      <c r="J41" s="468"/>
      <c r="K41" s="312"/>
      <c r="L41" s="468"/>
      <c r="M41" s="312"/>
      <c r="N41" s="468"/>
      <c r="O41" s="312"/>
      <c r="P41" s="468"/>
      <c r="Q41" s="312"/>
      <c r="R41" s="468"/>
      <c r="S41" s="312"/>
      <c r="T41" s="468"/>
      <c r="U41" s="312"/>
      <c r="V41" s="468"/>
      <c r="W41" s="312"/>
      <c r="X41" s="468"/>
      <c r="Y41" s="312"/>
      <c r="Z41" s="468"/>
      <c r="AA41" s="312"/>
      <c r="AB41" s="468"/>
      <c r="AC41" s="312"/>
      <c r="AD41" s="468"/>
    </row>
    <row r="42" spans="1:30" x14ac:dyDescent="0.25">
      <c r="A42" s="485"/>
      <c r="B42" s="485"/>
      <c r="C42" s="485" t="s">
        <v>278</v>
      </c>
      <c r="D42" s="485"/>
      <c r="E42" s="485"/>
      <c r="F42" s="485"/>
      <c r="G42" s="485"/>
      <c r="H42" s="468"/>
      <c r="I42" s="312"/>
      <c r="J42" s="468"/>
      <c r="K42" s="312"/>
      <c r="L42" s="468"/>
      <c r="M42" s="312"/>
      <c r="N42" s="468"/>
      <c r="O42" s="312"/>
      <c r="P42" s="468"/>
      <c r="Q42" s="312"/>
      <c r="R42" s="468"/>
      <c r="S42" s="312"/>
      <c r="T42" s="468"/>
      <c r="U42" s="312"/>
      <c r="V42" s="468"/>
      <c r="W42" s="312"/>
      <c r="X42" s="468"/>
      <c r="Y42" s="312"/>
      <c r="Z42" s="468"/>
      <c r="AA42" s="312"/>
      <c r="AB42" s="468"/>
      <c r="AC42" s="312"/>
      <c r="AD42" s="468"/>
    </row>
    <row r="43" spans="1:30" x14ac:dyDescent="0.25">
      <c r="A43" s="485"/>
      <c r="B43" s="485"/>
      <c r="C43" s="485"/>
      <c r="D43" s="485" t="s">
        <v>279</v>
      </c>
      <c r="E43" s="485"/>
      <c r="F43" s="485"/>
      <c r="G43" s="485"/>
      <c r="H43" s="468"/>
      <c r="I43" s="312"/>
      <c r="J43" s="468"/>
      <c r="K43" s="312"/>
      <c r="L43" s="468"/>
      <c r="M43" s="312"/>
      <c r="N43" s="468"/>
      <c r="O43" s="312"/>
      <c r="P43" s="468"/>
      <c r="Q43" s="312"/>
      <c r="R43" s="468"/>
      <c r="S43" s="312"/>
      <c r="T43" s="468"/>
      <c r="U43" s="312"/>
      <c r="V43" s="468"/>
      <c r="W43" s="312"/>
      <c r="X43" s="468"/>
      <c r="Y43" s="312"/>
      <c r="Z43" s="468"/>
      <c r="AA43" s="312"/>
      <c r="AB43" s="468"/>
      <c r="AC43" s="312"/>
      <c r="AD43" s="468"/>
    </row>
    <row r="44" spans="1:30" ht="15.75" thickBot="1" x14ac:dyDescent="0.3">
      <c r="A44" s="485"/>
      <c r="B44" s="485"/>
      <c r="C44" s="485"/>
      <c r="D44" s="485"/>
      <c r="E44" s="485" t="s">
        <v>280</v>
      </c>
      <c r="F44" s="485"/>
      <c r="G44" s="485"/>
      <c r="H44" s="313">
        <v>11289.57</v>
      </c>
      <c r="I44" s="312"/>
      <c r="J44" s="313">
        <v>10555.93</v>
      </c>
      <c r="K44" s="312"/>
      <c r="L44" s="313">
        <v>7044.34</v>
      </c>
      <c r="M44" s="312"/>
      <c r="N44" s="313">
        <v>18969.28</v>
      </c>
      <c r="O44" s="312"/>
      <c r="P44" s="313">
        <v>11363.59</v>
      </c>
      <c r="Q44" s="312"/>
      <c r="R44" s="313">
        <v>-3665.46</v>
      </c>
      <c r="S44" s="312"/>
      <c r="T44" s="313">
        <v>8556.7199999999993</v>
      </c>
      <c r="U44" s="312"/>
      <c r="V44" s="313">
        <v>-1750.84</v>
      </c>
      <c r="W44" s="312"/>
      <c r="X44" s="313">
        <v>-12047.17</v>
      </c>
      <c r="Y44" s="312"/>
      <c r="Z44" s="313">
        <v>5225.82</v>
      </c>
      <c r="AA44" s="312"/>
      <c r="AB44" s="313">
        <v>8033.14</v>
      </c>
      <c r="AC44" s="312"/>
      <c r="AD44" s="313">
        <v>2728.16</v>
      </c>
    </row>
    <row r="45" spans="1:30" x14ac:dyDescent="0.25">
      <c r="A45" s="485"/>
      <c r="B45" s="485"/>
      <c r="C45" s="485"/>
      <c r="D45" s="485" t="s">
        <v>281</v>
      </c>
      <c r="E45" s="485"/>
      <c r="F45" s="485"/>
      <c r="G45" s="485"/>
      <c r="H45" s="468">
        <f>ROUND(SUM(H43:H44),5)</f>
        <v>11289.57</v>
      </c>
      <c r="I45" s="312"/>
      <c r="J45" s="468">
        <f>ROUND(SUM(J43:J44),5)</f>
        <v>10555.93</v>
      </c>
      <c r="K45" s="312"/>
      <c r="L45" s="468">
        <f>ROUND(SUM(L43:L44),5)</f>
        <v>7044.34</v>
      </c>
      <c r="M45" s="312"/>
      <c r="N45" s="468">
        <f>ROUND(SUM(N43:N44),5)</f>
        <v>18969.28</v>
      </c>
      <c r="O45" s="312"/>
      <c r="P45" s="468">
        <f>ROUND(SUM(P43:P44),5)</f>
        <v>11363.59</v>
      </c>
      <c r="Q45" s="312"/>
      <c r="R45" s="468">
        <f>ROUND(SUM(R43:R44),5)</f>
        <v>-3665.46</v>
      </c>
      <c r="S45" s="312"/>
      <c r="T45" s="468">
        <f>ROUND(SUM(T43:T44),5)</f>
        <v>8556.7199999999993</v>
      </c>
      <c r="U45" s="312"/>
      <c r="V45" s="468">
        <f>ROUND(SUM(V43:V44),5)</f>
        <v>-1750.84</v>
      </c>
      <c r="W45" s="312"/>
      <c r="X45" s="468">
        <f>ROUND(SUM(X43:X44),5)</f>
        <v>-12047.17</v>
      </c>
      <c r="Y45" s="312"/>
      <c r="Z45" s="468">
        <f>ROUND(SUM(Z43:Z44),5)</f>
        <v>5225.82</v>
      </c>
      <c r="AA45" s="312"/>
      <c r="AB45" s="468">
        <f>ROUND(SUM(AB43:AB44),5)</f>
        <v>8033.14</v>
      </c>
      <c r="AC45" s="312"/>
      <c r="AD45" s="468">
        <f>ROUND(SUM(AD43:AD44),5)</f>
        <v>2728.16</v>
      </c>
    </row>
    <row r="46" spans="1:30" x14ac:dyDescent="0.25">
      <c r="A46" s="485"/>
      <c r="B46" s="485"/>
      <c r="C46" s="485"/>
      <c r="D46" s="485" t="s">
        <v>282</v>
      </c>
      <c r="E46" s="485"/>
      <c r="F46" s="485"/>
      <c r="G46" s="485"/>
      <c r="H46" s="468"/>
      <c r="I46" s="312"/>
      <c r="J46" s="468"/>
      <c r="K46" s="312"/>
      <c r="L46" s="468"/>
      <c r="M46" s="312"/>
      <c r="N46" s="468"/>
      <c r="O46" s="312"/>
      <c r="P46" s="468"/>
      <c r="Q46" s="312"/>
      <c r="R46" s="468"/>
      <c r="S46" s="312"/>
      <c r="T46" s="468"/>
      <c r="U46" s="312"/>
      <c r="V46" s="468"/>
      <c r="W46" s="312"/>
      <c r="X46" s="468"/>
      <c r="Y46" s="312"/>
      <c r="Z46" s="468"/>
      <c r="AA46" s="312"/>
      <c r="AB46" s="468"/>
      <c r="AC46" s="312"/>
      <c r="AD46" s="468"/>
    </row>
    <row r="47" spans="1:30" x14ac:dyDescent="0.25">
      <c r="A47" s="485"/>
      <c r="B47" s="485"/>
      <c r="C47" s="485"/>
      <c r="D47" s="485"/>
      <c r="E47" s="485" t="s">
        <v>283</v>
      </c>
      <c r="F47" s="485"/>
      <c r="G47" s="485"/>
      <c r="H47" s="468"/>
      <c r="I47" s="312"/>
      <c r="J47" s="468"/>
      <c r="K47" s="312"/>
      <c r="L47" s="468"/>
      <c r="M47" s="312"/>
      <c r="N47" s="468"/>
      <c r="O47" s="312"/>
      <c r="P47" s="468"/>
      <c r="Q47" s="312"/>
      <c r="R47" s="468"/>
      <c r="S47" s="312"/>
      <c r="T47" s="468"/>
      <c r="U47" s="312"/>
      <c r="V47" s="468"/>
      <c r="W47" s="312"/>
      <c r="X47" s="468"/>
      <c r="Y47" s="312"/>
      <c r="Z47" s="468"/>
      <c r="AA47" s="312"/>
      <c r="AB47" s="468"/>
      <c r="AC47" s="312"/>
      <c r="AD47" s="468"/>
    </row>
    <row r="48" spans="1:30" x14ac:dyDescent="0.25">
      <c r="A48" s="485"/>
      <c r="B48" s="485"/>
      <c r="C48" s="485"/>
      <c r="D48" s="485"/>
      <c r="E48" s="485"/>
      <c r="F48" s="485" t="s">
        <v>284</v>
      </c>
      <c r="G48" s="485"/>
      <c r="H48" s="468"/>
      <c r="I48" s="312"/>
      <c r="J48" s="468"/>
      <c r="K48" s="312"/>
      <c r="L48" s="468"/>
      <c r="M48" s="312"/>
      <c r="N48" s="468"/>
      <c r="O48" s="312"/>
      <c r="P48" s="468"/>
      <c r="Q48" s="312"/>
      <c r="R48" s="468"/>
      <c r="S48" s="312"/>
      <c r="T48" s="468"/>
      <c r="U48" s="312"/>
      <c r="V48" s="468"/>
      <c r="W48" s="312"/>
      <c r="X48" s="468"/>
      <c r="Y48" s="312"/>
      <c r="Z48" s="468"/>
      <c r="AA48" s="312"/>
      <c r="AB48" s="468"/>
      <c r="AC48" s="312"/>
      <c r="AD48" s="468"/>
    </row>
    <row r="49" spans="1:30" x14ac:dyDescent="0.25">
      <c r="A49" s="485"/>
      <c r="B49" s="485"/>
      <c r="C49" s="485"/>
      <c r="D49" s="485"/>
      <c r="E49" s="485"/>
      <c r="F49" s="485"/>
      <c r="G49" s="485" t="s">
        <v>285</v>
      </c>
      <c r="H49" s="468">
        <v>0</v>
      </c>
      <c r="I49" s="312"/>
      <c r="J49" s="468">
        <v>0</v>
      </c>
      <c r="K49" s="312"/>
      <c r="L49" s="468">
        <v>0</v>
      </c>
      <c r="M49" s="312"/>
      <c r="N49" s="468">
        <v>0</v>
      </c>
      <c r="O49" s="312"/>
      <c r="P49" s="468">
        <v>172.65</v>
      </c>
      <c r="Q49" s="312"/>
      <c r="R49" s="468">
        <v>0</v>
      </c>
      <c r="S49" s="312"/>
      <c r="T49" s="468">
        <v>0</v>
      </c>
      <c r="U49" s="312"/>
      <c r="V49" s="468">
        <v>368.99</v>
      </c>
      <c r="W49" s="312"/>
      <c r="X49" s="468">
        <v>0</v>
      </c>
      <c r="Y49" s="312"/>
      <c r="Z49" s="468">
        <v>0</v>
      </c>
      <c r="AA49" s="312"/>
      <c r="AB49" s="468">
        <v>0</v>
      </c>
      <c r="AC49" s="312"/>
      <c r="AD49" s="468">
        <v>0</v>
      </c>
    </row>
    <row r="50" spans="1:30" x14ac:dyDescent="0.25">
      <c r="A50" s="485"/>
      <c r="B50" s="485"/>
      <c r="C50" s="485"/>
      <c r="D50" s="485"/>
      <c r="E50" s="485"/>
      <c r="F50" s="485"/>
      <c r="G50" s="485" t="s">
        <v>286</v>
      </c>
      <c r="H50" s="468">
        <v>0</v>
      </c>
      <c r="I50" s="312"/>
      <c r="J50" s="468">
        <v>0</v>
      </c>
      <c r="K50" s="312"/>
      <c r="L50" s="468">
        <v>0</v>
      </c>
      <c r="M50" s="312"/>
      <c r="N50" s="468">
        <v>0</v>
      </c>
      <c r="O50" s="312"/>
      <c r="P50" s="468">
        <v>0</v>
      </c>
      <c r="Q50" s="312"/>
      <c r="R50" s="468">
        <v>0</v>
      </c>
      <c r="S50" s="312"/>
      <c r="T50" s="468">
        <v>0</v>
      </c>
      <c r="U50" s="312"/>
      <c r="V50" s="468">
        <v>6919.02</v>
      </c>
      <c r="W50" s="312"/>
      <c r="X50" s="468">
        <v>175.01</v>
      </c>
      <c r="Y50" s="312"/>
      <c r="Z50" s="468">
        <v>-980</v>
      </c>
      <c r="AA50" s="312"/>
      <c r="AB50" s="468">
        <v>-1122.69</v>
      </c>
      <c r="AC50" s="312"/>
      <c r="AD50" s="468">
        <v>-1230.23</v>
      </c>
    </row>
    <row r="51" spans="1:30" x14ac:dyDescent="0.25">
      <c r="A51" s="485"/>
      <c r="B51" s="485"/>
      <c r="C51" s="485"/>
      <c r="D51" s="485"/>
      <c r="E51" s="485"/>
      <c r="F51" s="485"/>
      <c r="G51" s="485" t="s">
        <v>287</v>
      </c>
      <c r="H51" s="468">
        <v>1960.43</v>
      </c>
      <c r="I51" s="312"/>
      <c r="J51" s="468">
        <v>1245.24</v>
      </c>
      <c r="K51" s="312"/>
      <c r="L51" s="468">
        <v>1819.84</v>
      </c>
      <c r="M51" s="312"/>
      <c r="N51" s="468">
        <v>1315.39</v>
      </c>
      <c r="O51" s="312"/>
      <c r="P51" s="468">
        <v>1084.26</v>
      </c>
      <c r="Q51" s="312"/>
      <c r="R51" s="468">
        <v>1143.1300000000001</v>
      </c>
      <c r="S51" s="312"/>
      <c r="T51" s="468">
        <v>1136.5899999999999</v>
      </c>
      <c r="U51" s="312"/>
      <c r="V51" s="468">
        <v>1658.16</v>
      </c>
      <c r="W51" s="312"/>
      <c r="X51" s="468">
        <v>1334.68</v>
      </c>
      <c r="Y51" s="312"/>
      <c r="Z51" s="468">
        <v>2201.09</v>
      </c>
      <c r="AA51" s="312"/>
      <c r="AB51" s="468">
        <v>2421.9899999999998</v>
      </c>
      <c r="AC51" s="312"/>
      <c r="AD51" s="468">
        <v>1838.62</v>
      </c>
    </row>
    <row r="52" spans="1:30" ht="15.75" thickBot="1" x14ac:dyDescent="0.3">
      <c r="A52" s="485"/>
      <c r="B52" s="485"/>
      <c r="C52" s="485"/>
      <c r="D52" s="485"/>
      <c r="E52" s="485"/>
      <c r="F52" s="485"/>
      <c r="G52" s="485" t="s">
        <v>288</v>
      </c>
      <c r="H52" s="467">
        <v>4979.59</v>
      </c>
      <c r="I52" s="312"/>
      <c r="J52" s="467">
        <v>9.99</v>
      </c>
      <c r="K52" s="312"/>
      <c r="L52" s="467">
        <v>4363.09</v>
      </c>
      <c r="M52" s="312"/>
      <c r="N52" s="467">
        <v>706.72</v>
      </c>
      <c r="O52" s="312"/>
      <c r="P52" s="467">
        <v>1918.15</v>
      </c>
      <c r="Q52" s="312"/>
      <c r="R52" s="467">
        <v>1754.84</v>
      </c>
      <c r="S52" s="312"/>
      <c r="T52" s="467">
        <v>9.99</v>
      </c>
      <c r="U52" s="312"/>
      <c r="V52" s="467">
        <v>0</v>
      </c>
      <c r="W52" s="312"/>
      <c r="X52" s="467">
        <v>0</v>
      </c>
      <c r="Y52" s="312"/>
      <c r="Z52" s="467">
        <v>0</v>
      </c>
      <c r="AA52" s="312"/>
      <c r="AB52" s="467">
        <v>0</v>
      </c>
      <c r="AC52" s="312"/>
      <c r="AD52" s="467">
        <v>0</v>
      </c>
    </row>
    <row r="53" spans="1:30" ht="15.75" thickBot="1" x14ac:dyDescent="0.3">
      <c r="A53" s="485"/>
      <c r="B53" s="485"/>
      <c r="C53" s="485"/>
      <c r="D53" s="485"/>
      <c r="E53" s="485"/>
      <c r="F53" s="485" t="s">
        <v>289</v>
      </c>
      <c r="G53" s="485"/>
      <c r="H53" s="315">
        <f>ROUND(SUM(H48:H52),5)</f>
        <v>6940.02</v>
      </c>
      <c r="I53" s="312"/>
      <c r="J53" s="315">
        <f>ROUND(SUM(J48:J52),5)</f>
        <v>1255.23</v>
      </c>
      <c r="K53" s="312"/>
      <c r="L53" s="315">
        <f>ROUND(SUM(L48:L52),5)</f>
        <v>6182.93</v>
      </c>
      <c r="M53" s="312"/>
      <c r="N53" s="315">
        <f>ROUND(SUM(N48:N52),5)</f>
        <v>2022.11</v>
      </c>
      <c r="O53" s="312"/>
      <c r="P53" s="315">
        <f>ROUND(SUM(P48:P52),5)</f>
        <v>3175.06</v>
      </c>
      <c r="Q53" s="312"/>
      <c r="R53" s="315">
        <f>ROUND(SUM(R48:R52),5)</f>
        <v>2897.97</v>
      </c>
      <c r="S53" s="312"/>
      <c r="T53" s="315">
        <f>ROUND(SUM(T48:T52),5)</f>
        <v>1146.58</v>
      </c>
      <c r="U53" s="312"/>
      <c r="V53" s="315">
        <f>ROUND(SUM(V48:V52),5)</f>
        <v>8946.17</v>
      </c>
      <c r="W53" s="312"/>
      <c r="X53" s="315">
        <f>ROUND(SUM(X48:X52),5)</f>
        <v>1509.69</v>
      </c>
      <c r="Y53" s="312"/>
      <c r="Z53" s="315">
        <f>ROUND(SUM(Z48:Z52),5)</f>
        <v>1221.0899999999999</v>
      </c>
      <c r="AA53" s="312"/>
      <c r="AB53" s="315">
        <f>ROUND(SUM(AB48:AB52),5)</f>
        <v>1299.3</v>
      </c>
      <c r="AC53" s="312"/>
      <c r="AD53" s="315">
        <f>ROUND(SUM(AD48:AD52),5)</f>
        <v>608.39</v>
      </c>
    </row>
    <row r="54" spans="1:30" ht="15.75" thickBot="1" x14ac:dyDescent="0.3">
      <c r="A54" s="485"/>
      <c r="B54" s="485"/>
      <c r="C54" s="485"/>
      <c r="D54" s="485"/>
      <c r="E54" s="485" t="s">
        <v>290</v>
      </c>
      <c r="F54" s="485"/>
      <c r="G54" s="485"/>
      <c r="H54" s="314">
        <f>ROUND(H47+H53,5)</f>
        <v>6940.02</v>
      </c>
      <c r="I54" s="312"/>
      <c r="J54" s="314">
        <f>ROUND(J47+J53,5)</f>
        <v>1255.23</v>
      </c>
      <c r="K54" s="312"/>
      <c r="L54" s="314">
        <f>ROUND(L47+L53,5)</f>
        <v>6182.93</v>
      </c>
      <c r="M54" s="312"/>
      <c r="N54" s="314">
        <f>ROUND(N47+N53,5)</f>
        <v>2022.11</v>
      </c>
      <c r="O54" s="312"/>
      <c r="P54" s="314">
        <f>ROUND(P47+P53,5)</f>
        <v>3175.06</v>
      </c>
      <c r="Q54" s="312"/>
      <c r="R54" s="314">
        <f>ROUND(R47+R53,5)</f>
        <v>2897.97</v>
      </c>
      <c r="S54" s="312"/>
      <c r="T54" s="314">
        <f>ROUND(T47+T53,5)</f>
        <v>1146.58</v>
      </c>
      <c r="U54" s="312"/>
      <c r="V54" s="314">
        <f>ROUND(V47+V53,5)</f>
        <v>8946.17</v>
      </c>
      <c r="W54" s="312"/>
      <c r="X54" s="314">
        <f>ROUND(X47+X53,5)</f>
        <v>1509.69</v>
      </c>
      <c r="Y54" s="312"/>
      <c r="Z54" s="314">
        <f>ROUND(Z47+Z53,5)</f>
        <v>1221.0899999999999</v>
      </c>
      <c r="AA54" s="312"/>
      <c r="AB54" s="314">
        <f>ROUND(AB47+AB53,5)</f>
        <v>1299.3</v>
      </c>
      <c r="AC54" s="312"/>
      <c r="AD54" s="314">
        <f>ROUND(AD47+AD53,5)</f>
        <v>608.39</v>
      </c>
    </row>
    <row r="55" spans="1:30" x14ac:dyDescent="0.25">
      <c r="A55" s="485"/>
      <c r="B55" s="485"/>
      <c r="C55" s="485"/>
      <c r="D55" s="485" t="s">
        <v>291</v>
      </c>
      <c r="E55" s="485"/>
      <c r="F55" s="485"/>
      <c r="G55" s="485"/>
      <c r="H55" s="468">
        <f>ROUND(H46+H54,5)</f>
        <v>6940.02</v>
      </c>
      <c r="I55" s="312"/>
      <c r="J55" s="468">
        <f>ROUND(J46+J54,5)</f>
        <v>1255.23</v>
      </c>
      <c r="K55" s="312"/>
      <c r="L55" s="468">
        <f>ROUND(L46+L54,5)</f>
        <v>6182.93</v>
      </c>
      <c r="M55" s="312"/>
      <c r="N55" s="468">
        <f>ROUND(N46+N54,5)</f>
        <v>2022.11</v>
      </c>
      <c r="O55" s="312"/>
      <c r="P55" s="468">
        <f>ROUND(P46+P54,5)</f>
        <v>3175.06</v>
      </c>
      <c r="Q55" s="312"/>
      <c r="R55" s="468">
        <f>ROUND(R46+R54,5)</f>
        <v>2897.97</v>
      </c>
      <c r="S55" s="312"/>
      <c r="T55" s="468">
        <f>ROUND(T46+T54,5)</f>
        <v>1146.58</v>
      </c>
      <c r="U55" s="312"/>
      <c r="V55" s="468">
        <f>ROUND(V46+V54,5)</f>
        <v>8946.17</v>
      </c>
      <c r="W55" s="312"/>
      <c r="X55" s="468">
        <f>ROUND(X46+X54,5)</f>
        <v>1509.69</v>
      </c>
      <c r="Y55" s="312"/>
      <c r="Z55" s="468">
        <f>ROUND(Z46+Z54,5)</f>
        <v>1221.0899999999999</v>
      </c>
      <c r="AA55" s="312"/>
      <c r="AB55" s="468">
        <f>ROUND(AB46+AB54,5)</f>
        <v>1299.3</v>
      </c>
      <c r="AC55" s="312"/>
      <c r="AD55" s="468">
        <f>ROUND(AD46+AD54,5)</f>
        <v>608.39</v>
      </c>
    </row>
    <row r="56" spans="1:30" x14ac:dyDescent="0.25">
      <c r="A56" s="485"/>
      <c r="B56" s="485"/>
      <c r="C56" s="485"/>
      <c r="D56" s="485" t="s">
        <v>292</v>
      </c>
      <c r="E56" s="485"/>
      <c r="F56" s="485"/>
      <c r="G56" s="485"/>
      <c r="H56" s="468"/>
      <c r="I56" s="312"/>
      <c r="J56" s="468"/>
      <c r="K56" s="312"/>
      <c r="L56" s="468"/>
      <c r="M56" s="312"/>
      <c r="N56" s="468"/>
      <c r="O56" s="312"/>
      <c r="P56" s="468"/>
      <c r="Q56" s="312"/>
      <c r="R56" s="468"/>
      <c r="S56" s="312"/>
      <c r="T56" s="468"/>
      <c r="U56" s="312"/>
      <c r="V56" s="468"/>
      <c r="W56" s="312"/>
      <c r="X56" s="468"/>
      <c r="Y56" s="312"/>
      <c r="Z56" s="468"/>
      <c r="AA56" s="312"/>
      <c r="AB56" s="468"/>
      <c r="AC56" s="312"/>
      <c r="AD56" s="468"/>
    </row>
    <row r="57" spans="1:30" x14ac:dyDescent="0.25">
      <c r="A57" s="485"/>
      <c r="B57" s="485"/>
      <c r="C57" s="485"/>
      <c r="D57" s="485"/>
      <c r="E57" s="485" t="s">
        <v>293</v>
      </c>
      <c r="F57" s="485"/>
      <c r="G57" s="485"/>
      <c r="H57" s="468"/>
      <c r="I57" s="312"/>
      <c r="J57" s="468"/>
      <c r="K57" s="312"/>
      <c r="L57" s="468"/>
      <c r="M57" s="312"/>
      <c r="N57" s="468"/>
      <c r="O57" s="312"/>
      <c r="P57" s="468"/>
      <c r="Q57" s="312"/>
      <c r="R57" s="468"/>
      <c r="S57" s="312"/>
      <c r="T57" s="468"/>
      <c r="U57" s="312"/>
      <c r="V57" s="468"/>
      <c r="W57" s="312"/>
      <c r="X57" s="468"/>
      <c r="Y57" s="312"/>
      <c r="Z57" s="468"/>
      <c r="AA57" s="312"/>
      <c r="AB57" s="468"/>
      <c r="AC57" s="312"/>
      <c r="AD57" s="468"/>
    </row>
    <row r="58" spans="1:30" x14ac:dyDescent="0.25">
      <c r="A58" s="485"/>
      <c r="B58" s="485"/>
      <c r="C58" s="485"/>
      <c r="D58" s="485"/>
      <c r="E58" s="485"/>
      <c r="F58" s="485" t="s">
        <v>294</v>
      </c>
      <c r="G58" s="485"/>
      <c r="H58" s="468">
        <v>706.98</v>
      </c>
      <c r="I58" s="312"/>
      <c r="J58" s="468">
        <v>871.98</v>
      </c>
      <c r="K58" s="312"/>
      <c r="L58" s="468">
        <v>861.98</v>
      </c>
      <c r="M58" s="312"/>
      <c r="N58" s="468">
        <v>881.98</v>
      </c>
      <c r="O58" s="312"/>
      <c r="P58" s="468">
        <v>1016.98</v>
      </c>
      <c r="Q58" s="312"/>
      <c r="R58" s="468">
        <v>1011.98</v>
      </c>
      <c r="S58" s="312"/>
      <c r="T58" s="468">
        <v>1039.74</v>
      </c>
      <c r="U58" s="312"/>
      <c r="V58" s="468">
        <v>1654.74</v>
      </c>
      <c r="W58" s="312"/>
      <c r="X58" s="468">
        <v>1904.74</v>
      </c>
      <c r="Y58" s="312"/>
      <c r="Z58" s="468">
        <v>2034.74</v>
      </c>
      <c r="AA58" s="312"/>
      <c r="AB58" s="468">
        <v>1375.76</v>
      </c>
      <c r="AC58" s="312"/>
      <c r="AD58" s="468">
        <v>1400.76</v>
      </c>
    </row>
    <row r="59" spans="1:30" x14ac:dyDescent="0.25">
      <c r="A59" s="485"/>
      <c r="B59" s="485"/>
      <c r="C59" s="485"/>
      <c r="D59" s="485"/>
      <c r="E59" s="485"/>
      <c r="F59" s="485" t="s">
        <v>295</v>
      </c>
      <c r="G59" s="485"/>
      <c r="H59" s="468">
        <v>265</v>
      </c>
      <c r="I59" s="312"/>
      <c r="J59" s="468">
        <v>330</v>
      </c>
      <c r="K59" s="312"/>
      <c r="L59" s="468">
        <v>430</v>
      </c>
      <c r="M59" s="312"/>
      <c r="N59" s="468">
        <v>430</v>
      </c>
      <c r="O59" s="312"/>
      <c r="P59" s="468">
        <v>930</v>
      </c>
      <c r="Q59" s="312"/>
      <c r="R59" s="468">
        <v>930</v>
      </c>
      <c r="S59" s="312"/>
      <c r="T59" s="468">
        <v>1020</v>
      </c>
      <c r="U59" s="312"/>
      <c r="V59" s="468">
        <v>1020</v>
      </c>
      <c r="W59" s="312"/>
      <c r="X59" s="468">
        <v>1020</v>
      </c>
      <c r="Y59" s="312"/>
      <c r="Z59" s="468">
        <v>1020</v>
      </c>
      <c r="AA59" s="312"/>
      <c r="AB59" s="468">
        <v>1020</v>
      </c>
      <c r="AC59" s="312"/>
      <c r="AD59" s="468">
        <v>1020</v>
      </c>
    </row>
    <row r="60" spans="1:30" x14ac:dyDescent="0.25">
      <c r="A60" s="485"/>
      <c r="B60" s="485"/>
      <c r="C60" s="485"/>
      <c r="D60" s="485"/>
      <c r="E60" s="485"/>
      <c r="F60" s="485" t="s">
        <v>296</v>
      </c>
      <c r="G60" s="485"/>
      <c r="H60" s="468">
        <v>0</v>
      </c>
      <c r="I60" s="312"/>
      <c r="J60" s="468">
        <v>0</v>
      </c>
      <c r="K60" s="312"/>
      <c r="L60" s="468">
        <v>0</v>
      </c>
      <c r="M60" s="312"/>
      <c r="N60" s="468">
        <v>1065</v>
      </c>
      <c r="O60" s="312"/>
      <c r="P60" s="468">
        <v>1105</v>
      </c>
      <c r="Q60" s="312"/>
      <c r="R60" s="468">
        <v>1285</v>
      </c>
      <c r="S60" s="312"/>
      <c r="T60" s="468">
        <v>1411.85</v>
      </c>
      <c r="U60" s="312"/>
      <c r="V60" s="468">
        <v>1681.85</v>
      </c>
      <c r="W60" s="312"/>
      <c r="X60" s="468">
        <v>1733.1</v>
      </c>
      <c r="Y60" s="312"/>
      <c r="Z60" s="468">
        <v>1793.1</v>
      </c>
      <c r="AA60" s="312"/>
      <c r="AB60" s="468">
        <v>1793.1</v>
      </c>
      <c r="AC60" s="312"/>
      <c r="AD60" s="468">
        <v>1833.1</v>
      </c>
    </row>
    <row r="61" spans="1:30" ht="15.75" thickBot="1" x14ac:dyDescent="0.3">
      <c r="A61" s="485"/>
      <c r="B61" s="485"/>
      <c r="C61" s="485"/>
      <c r="D61" s="485"/>
      <c r="E61" s="485"/>
      <c r="F61" s="485" t="s">
        <v>297</v>
      </c>
      <c r="G61" s="485"/>
      <c r="H61" s="313">
        <v>0</v>
      </c>
      <c r="I61" s="312"/>
      <c r="J61" s="313">
        <v>0</v>
      </c>
      <c r="K61" s="312"/>
      <c r="L61" s="313">
        <v>0</v>
      </c>
      <c r="M61" s="312"/>
      <c r="N61" s="313">
        <v>0</v>
      </c>
      <c r="O61" s="312"/>
      <c r="P61" s="313">
        <v>0</v>
      </c>
      <c r="Q61" s="312"/>
      <c r="R61" s="313">
        <v>0</v>
      </c>
      <c r="S61" s="312"/>
      <c r="T61" s="313">
        <v>0</v>
      </c>
      <c r="U61" s="312"/>
      <c r="V61" s="313">
        <v>0</v>
      </c>
      <c r="W61" s="312"/>
      <c r="X61" s="313">
        <v>25</v>
      </c>
      <c r="Y61" s="312"/>
      <c r="Z61" s="313">
        <v>25</v>
      </c>
      <c r="AA61" s="312"/>
      <c r="AB61" s="313">
        <v>25</v>
      </c>
      <c r="AC61" s="312"/>
      <c r="AD61" s="313">
        <v>0</v>
      </c>
    </row>
    <row r="62" spans="1:30" x14ac:dyDescent="0.25">
      <c r="A62" s="485"/>
      <c r="B62" s="485"/>
      <c r="C62" s="485"/>
      <c r="D62" s="485"/>
      <c r="E62" s="485" t="s">
        <v>298</v>
      </c>
      <c r="F62" s="485"/>
      <c r="G62" s="485"/>
      <c r="H62" s="468">
        <f>ROUND(SUM(H57:H61),5)</f>
        <v>971.98</v>
      </c>
      <c r="I62" s="312"/>
      <c r="J62" s="468">
        <f>ROUND(SUM(J57:J61),5)</f>
        <v>1201.98</v>
      </c>
      <c r="K62" s="312"/>
      <c r="L62" s="468">
        <f>ROUND(SUM(L57:L61),5)</f>
        <v>1291.98</v>
      </c>
      <c r="M62" s="312"/>
      <c r="N62" s="468">
        <f>ROUND(SUM(N57:N61),5)</f>
        <v>2376.98</v>
      </c>
      <c r="O62" s="312"/>
      <c r="P62" s="468">
        <f>ROUND(SUM(P57:P61),5)</f>
        <v>3051.98</v>
      </c>
      <c r="Q62" s="312"/>
      <c r="R62" s="468">
        <f>ROUND(SUM(R57:R61),5)</f>
        <v>3226.98</v>
      </c>
      <c r="S62" s="312"/>
      <c r="T62" s="468">
        <f>ROUND(SUM(T57:T61),5)</f>
        <v>3471.59</v>
      </c>
      <c r="U62" s="312"/>
      <c r="V62" s="468">
        <f>ROUND(SUM(V57:V61),5)</f>
        <v>4356.59</v>
      </c>
      <c r="W62" s="312"/>
      <c r="X62" s="468">
        <f>ROUND(SUM(X57:X61),5)</f>
        <v>4682.84</v>
      </c>
      <c r="Y62" s="312"/>
      <c r="Z62" s="468">
        <f>ROUND(SUM(Z57:Z61),5)</f>
        <v>4872.84</v>
      </c>
      <c r="AA62" s="312"/>
      <c r="AB62" s="468">
        <f>ROUND(SUM(AB57:AB61),5)</f>
        <v>4213.8599999999997</v>
      </c>
      <c r="AC62" s="312"/>
      <c r="AD62" s="468">
        <f>ROUND(SUM(AD57:AD61),5)</f>
        <v>4253.8599999999997</v>
      </c>
    </row>
    <row r="63" spans="1:30" x14ac:dyDescent="0.25">
      <c r="A63" s="485"/>
      <c r="B63" s="485"/>
      <c r="C63" s="485"/>
      <c r="D63" s="485"/>
      <c r="E63" s="485" t="s">
        <v>299</v>
      </c>
      <c r="F63" s="485"/>
      <c r="G63" s="485"/>
      <c r="H63" s="468"/>
      <c r="I63" s="312"/>
      <c r="J63" s="468"/>
      <c r="K63" s="312"/>
      <c r="L63" s="468"/>
      <c r="M63" s="312"/>
      <c r="N63" s="468"/>
      <c r="O63" s="312"/>
      <c r="P63" s="468"/>
      <c r="Q63" s="312"/>
      <c r="R63" s="468"/>
      <c r="S63" s="312"/>
      <c r="T63" s="468"/>
      <c r="U63" s="312"/>
      <c r="V63" s="468"/>
      <c r="W63" s="312"/>
      <c r="X63" s="468"/>
      <c r="Y63" s="312"/>
      <c r="Z63" s="468"/>
      <c r="AA63" s="312"/>
      <c r="AB63" s="468"/>
      <c r="AC63" s="312"/>
      <c r="AD63" s="468"/>
    </row>
    <row r="64" spans="1:30" x14ac:dyDescent="0.25">
      <c r="A64" s="485"/>
      <c r="B64" s="485"/>
      <c r="C64" s="485"/>
      <c r="D64" s="485"/>
      <c r="E64" s="485"/>
      <c r="F64" s="485" t="s">
        <v>300</v>
      </c>
      <c r="G64" s="485"/>
      <c r="H64" s="468">
        <v>0</v>
      </c>
      <c r="I64" s="312"/>
      <c r="J64" s="468">
        <v>0</v>
      </c>
      <c r="K64" s="312"/>
      <c r="L64" s="468">
        <v>0</v>
      </c>
      <c r="M64" s="312"/>
      <c r="N64" s="468">
        <v>0</v>
      </c>
      <c r="O64" s="312"/>
      <c r="P64" s="468">
        <v>0</v>
      </c>
      <c r="Q64" s="312"/>
      <c r="R64" s="468">
        <v>0</v>
      </c>
      <c r="S64" s="312"/>
      <c r="T64" s="468">
        <v>25</v>
      </c>
      <c r="U64" s="312"/>
      <c r="V64" s="468">
        <v>25</v>
      </c>
      <c r="W64" s="312"/>
      <c r="X64" s="468">
        <v>25</v>
      </c>
      <c r="Y64" s="312"/>
      <c r="Z64" s="468">
        <v>0</v>
      </c>
      <c r="AA64" s="312"/>
      <c r="AB64" s="468">
        <v>-37.5</v>
      </c>
      <c r="AC64" s="312"/>
      <c r="AD64" s="468">
        <v>0</v>
      </c>
    </row>
    <row r="65" spans="1:30" ht="15.75" thickBot="1" x14ac:dyDescent="0.3">
      <c r="A65" s="485"/>
      <c r="B65" s="485"/>
      <c r="C65" s="485"/>
      <c r="D65" s="485"/>
      <c r="E65" s="485"/>
      <c r="F65" s="485" t="s">
        <v>301</v>
      </c>
      <c r="G65" s="485"/>
      <c r="H65" s="313">
        <v>8140.28</v>
      </c>
      <c r="I65" s="312"/>
      <c r="J65" s="313">
        <v>7678.34</v>
      </c>
      <c r="K65" s="312"/>
      <c r="L65" s="313">
        <v>8809.74</v>
      </c>
      <c r="M65" s="312"/>
      <c r="N65" s="313">
        <v>9027.77</v>
      </c>
      <c r="O65" s="312"/>
      <c r="P65" s="313">
        <v>9123.02</v>
      </c>
      <c r="Q65" s="312"/>
      <c r="R65" s="313">
        <v>9967.51</v>
      </c>
      <c r="S65" s="312"/>
      <c r="T65" s="313">
        <v>10886.04</v>
      </c>
      <c r="U65" s="312"/>
      <c r="V65" s="313">
        <v>14050.64</v>
      </c>
      <c r="W65" s="312"/>
      <c r="X65" s="313">
        <v>14254.41</v>
      </c>
      <c r="Y65" s="312"/>
      <c r="Z65" s="313">
        <v>15516.44</v>
      </c>
      <c r="AA65" s="312"/>
      <c r="AB65" s="313">
        <v>11822</v>
      </c>
      <c r="AC65" s="312"/>
      <c r="AD65" s="313">
        <v>11592.1</v>
      </c>
    </row>
    <row r="66" spans="1:30" x14ac:dyDescent="0.25">
      <c r="A66" s="485"/>
      <c r="B66" s="485"/>
      <c r="C66" s="485"/>
      <c r="D66" s="485"/>
      <c r="E66" s="485" t="s">
        <v>302</v>
      </c>
      <c r="F66" s="485"/>
      <c r="G66" s="485"/>
      <c r="H66" s="468">
        <f>ROUND(SUM(H63:H65),5)</f>
        <v>8140.28</v>
      </c>
      <c r="I66" s="312"/>
      <c r="J66" s="468">
        <f>ROUND(SUM(J63:J65),5)</f>
        <v>7678.34</v>
      </c>
      <c r="K66" s="312"/>
      <c r="L66" s="468">
        <f>ROUND(SUM(L63:L65),5)</f>
        <v>8809.74</v>
      </c>
      <c r="M66" s="312"/>
      <c r="N66" s="468">
        <f>ROUND(SUM(N63:N65),5)</f>
        <v>9027.77</v>
      </c>
      <c r="O66" s="312"/>
      <c r="P66" s="468">
        <f>ROUND(SUM(P63:P65),5)</f>
        <v>9123.02</v>
      </c>
      <c r="Q66" s="312"/>
      <c r="R66" s="468">
        <f>ROUND(SUM(R63:R65),5)</f>
        <v>9967.51</v>
      </c>
      <c r="S66" s="312"/>
      <c r="T66" s="468">
        <f>ROUND(SUM(T63:T65),5)</f>
        <v>10911.04</v>
      </c>
      <c r="U66" s="312"/>
      <c r="V66" s="468">
        <f>ROUND(SUM(V63:V65),5)</f>
        <v>14075.64</v>
      </c>
      <c r="W66" s="312"/>
      <c r="X66" s="468">
        <f>ROUND(SUM(X63:X65),5)</f>
        <v>14279.41</v>
      </c>
      <c r="Y66" s="312"/>
      <c r="Z66" s="468">
        <f>ROUND(SUM(Z63:Z65),5)</f>
        <v>15516.44</v>
      </c>
      <c r="AA66" s="312"/>
      <c r="AB66" s="468">
        <f>ROUND(SUM(AB63:AB65),5)</f>
        <v>11784.5</v>
      </c>
      <c r="AC66" s="312"/>
      <c r="AD66" s="468">
        <f>ROUND(SUM(AD63:AD65),5)</f>
        <v>11592.1</v>
      </c>
    </row>
    <row r="67" spans="1:30" x14ac:dyDescent="0.25">
      <c r="A67" s="485"/>
      <c r="B67" s="485"/>
      <c r="C67" s="485"/>
      <c r="D67" s="485"/>
      <c r="E67" s="485" t="s">
        <v>303</v>
      </c>
      <c r="F67" s="485"/>
      <c r="G67" s="485"/>
      <c r="H67" s="468">
        <v>0</v>
      </c>
      <c r="I67" s="312"/>
      <c r="J67" s="468">
        <v>1221.9100000000001</v>
      </c>
      <c r="K67" s="312"/>
      <c r="L67" s="468">
        <v>0</v>
      </c>
      <c r="M67" s="312"/>
      <c r="N67" s="468">
        <v>1274.67</v>
      </c>
      <c r="O67" s="312"/>
      <c r="P67" s="468">
        <v>2554.0300000000002</v>
      </c>
      <c r="Q67" s="312"/>
      <c r="R67" s="468">
        <v>1396.21</v>
      </c>
      <c r="S67" s="312"/>
      <c r="T67" s="468">
        <v>1409.48</v>
      </c>
      <c r="U67" s="312"/>
      <c r="V67" s="468">
        <v>4218.03</v>
      </c>
      <c r="W67" s="312"/>
      <c r="X67" s="468">
        <v>1390.61</v>
      </c>
      <c r="Y67" s="312"/>
      <c r="Z67" s="468">
        <v>1410.09</v>
      </c>
      <c r="AA67" s="312"/>
      <c r="AB67" s="468">
        <v>1078.6500000000001</v>
      </c>
      <c r="AC67" s="312"/>
      <c r="AD67" s="468">
        <v>1332.63</v>
      </c>
    </row>
    <row r="68" spans="1:30" x14ac:dyDescent="0.25">
      <c r="A68" s="485"/>
      <c r="B68" s="485"/>
      <c r="C68" s="485"/>
      <c r="D68" s="485"/>
      <c r="E68" s="485" t="s">
        <v>304</v>
      </c>
      <c r="F68" s="485"/>
      <c r="G68" s="485"/>
      <c r="H68" s="468">
        <v>0</v>
      </c>
      <c r="I68" s="312"/>
      <c r="J68" s="468">
        <v>0</v>
      </c>
      <c r="K68" s="312"/>
      <c r="L68" s="468">
        <v>0</v>
      </c>
      <c r="M68" s="312"/>
      <c r="N68" s="468">
        <v>0</v>
      </c>
      <c r="O68" s="312"/>
      <c r="P68" s="468">
        <v>45</v>
      </c>
      <c r="Q68" s="312"/>
      <c r="R68" s="468">
        <v>90</v>
      </c>
      <c r="S68" s="312"/>
      <c r="T68" s="468">
        <v>1891.53</v>
      </c>
      <c r="U68" s="312"/>
      <c r="V68" s="468">
        <v>3693.05</v>
      </c>
      <c r="W68" s="312"/>
      <c r="X68" s="468">
        <v>5494.57</v>
      </c>
      <c r="Y68" s="312"/>
      <c r="Z68" s="468">
        <v>7296.09</v>
      </c>
      <c r="AA68" s="312"/>
      <c r="AB68" s="468">
        <v>9174.0499999999993</v>
      </c>
      <c r="AC68" s="312"/>
      <c r="AD68" s="468">
        <v>10847.27</v>
      </c>
    </row>
    <row r="69" spans="1:30" x14ac:dyDescent="0.25">
      <c r="A69" s="485"/>
      <c r="B69" s="485"/>
      <c r="C69" s="485"/>
      <c r="D69" s="485"/>
      <c r="E69" s="485" t="s">
        <v>305</v>
      </c>
      <c r="F69" s="485"/>
      <c r="G69" s="485"/>
      <c r="H69" s="468">
        <v>248</v>
      </c>
      <c r="I69" s="312"/>
      <c r="J69" s="468">
        <v>2.41</v>
      </c>
      <c r="K69" s="312"/>
      <c r="L69" s="468">
        <v>7.24</v>
      </c>
      <c r="M69" s="312"/>
      <c r="N69" s="468">
        <v>2.65</v>
      </c>
      <c r="O69" s="312"/>
      <c r="P69" s="468">
        <v>29.12</v>
      </c>
      <c r="Q69" s="312"/>
      <c r="R69" s="468">
        <v>118.03</v>
      </c>
      <c r="S69" s="312"/>
      <c r="T69" s="468">
        <v>437.73</v>
      </c>
      <c r="U69" s="312"/>
      <c r="V69" s="468">
        <v>437.73</v>
      </c>
      <c r="W69" s="312"/>
      <c r="X69" s="468">
        <v>59.1</v>
      </c>
      <c r="Y69" s="312"/>
      <c r="Z69" s="468">
        <v>61.31</v>
      </c>
      <c r="AA69" s="312"/>
      <c r="AB69" s="468">
        <v>-123.69</v>
      </c>
      <c r="AC69" s="312"/>
      <c r="AD69" s="468">
        <v>-123.69</v>
      </c>
    </row>
    <row r="70" spans="1:30" x14ac:dyDescent="0.25">
      <c r="A70" s="485"/>
      <c r="B70" s="485"/>
      <c r="C70" s="485"/>
      <c r="D70" s="485"/>
      <c r="E70" s="485" t="s">
        <v>306</v>
      </c>
      <c r="F70" s="485"/>
      <c r="G70" s="485"/>
      <c r="H70" s="468">
        <v>40</v>
      </c>
      <c r="I70" s="312"/>
      <c r="J70" s="468">
        <v>600</v>
      </c>
      <c r="K70" s="312"/>
      <c r="L70" s="468">
        <v>1500</v>
      </c>
      <c r="M70" s="312"/>
      <c r="N70" s="468">
        <v>100</v>
      </c>
      <c r="O70" s="312"/>
      <c r="P70" s="468">
        <v>0</v>
      </c>
      <c r="Q70" s="312"/>
      <c r="R70" s="468">
        <v>0</v>
      </c>
      <c r="S70" s="312"/>
      <c r="T70" s="468">
        <v>0</v>
      </c>
      <c r="U70" s="312"/>
      <c r="V70" s="468">
        <v>0</v>
      </c>
      <c r="W70" s="312"/>
      <c r="X70" s="468">
        <v>0</v>
      </c>
      <c r="Y70" s="312"/>
      <c r="Z70" s="468">
        <v>0</v>
      </c>
      <c r="AA70" s="312"/>
      <c r="AB70" s="468">
        <v>0</v>
      </c>
      <c r="AC70" s="312"/>
      <c r="AD70" s="468">
        <v>0</v>
      </c>
    </row>
    <row r="71" spans="1:30" ht="15.75" thickBot="1" x14ac:dyDescent="0.3">
      <c r="A71" s="485"/>
      <c r="B71" s="485"/>
      <c r="C71" s="485"/>
      <c r="D71" s="485"/>
      <c r="E71" s="485" t="s">
        <v>504</v>
      </c>
      <c r="F71" s="485"/>
      <c r="G71" s="485"/>
      <c r="H71" s="467">
        <v>0</v>
      </c>
      <c r="I71" s="312"/>
      <c r="J71" s="467">
        <v>0</v>
      </c>
      <c r="K71" s="312"/>
      <c r="L71" s="467">
        <v>0</v>
      </c>
      <c r="M71" s="312"/>
      <c r="N71" s="467">
        <v>0</v>
      </c>
      <c r="O71" s="312"/>
      <c r="P71" s="467">
        <v>0</v>
      </c>
      <c r="Q71" s="312"/>
      <c r="R71" s="467">
        <v>0</v>
      </c>
      <c r="S71" s="312"/>
      <c r="T71" s="467">
        <v>0</v>
      </c>
      <c r="U71" s="312"/>
      <c r="V71" s="467">
        <v>0</v>
      </c>
      <c r="W71" s="312"/>
      <c r="X71" s="467">
        <v>0</v>
      </c>
      <c r="Y71" s="312"/>
      <c r="Z71" s="467">
        <v>0</v>
      </c>
      <c r="AA71" s="312"/>
      <c r="AB71" s="467">
        <v>-450</v>
      </c>
      <c r="AC71" s="312"/>
      <c r="AD71" s="467">
        <v>0</v>
      </c>
    </row>
    <row r="72" spans="1:30" ht="15.75" thickBot="1" x14ac:dyDescent="0.3">
      <c r="A72" s="485"/>
      <c r="B72" s="485"/>
      <c r="C72" s="485"/>
      <c r="D72" s="485" t="s">
        <v>307</v>
      </c>
      <c r="E72" s="485"/>
      <c r="F72" s="485"/>
      <c r="G72" s="485"/>
      <c r="H72" s="314">
        <f>ROUND(H56+H62+SUM(H66:H71),5)</f>
        <v>9400.26</v>
      </c>
      <c r="I72" s="312"/>
      <c r="J72" s="314">
        <f>ROUND(J56+J62+SUM(J66:J71),5)</f>
        <v>10704.64</v>
      </c>
      <c r="K72" s="312"/>
      <c r="L72" s="314">
        <f>ROUND(L56+L62+SUM(L66:L71),5)</f>
        <v>11608.96</v>
      </c>
      <c r="M72" s="312"/>
      <c r="N72" s="314">
        <f>ROUND(N56+N62+SUM(N66:N71),5)</f>
        <v>12782.07</v>
      </c>
      <c r="O72" s="312"/>
      <c r="P72" s="314">
        <f>ROUND(P56+P62+SUM(P66:P71),5)</f>
        <v>14803.15</v>
      </c>
      <c r="Q72" s="312"/>
      <c r="R72" s="314">
        <f>ROUND(R56+R62+SUM(R66:R71),5)</f>
        <v>14798.73</v>
      </c>
      <c r="S72" s="312"/>
      <c r="T72" s="314">
        <f>ROUND(T56+T62+SUM(T66:T71),5)</f>
        <v>18121.37</v>
      </c>
      <c r="U72" s="312"/>
      <c r="V72" s="314">
        <f>ROUND(V56+V62+SUM(V66:V71),5)</f>
        <v>26781.040000000001</v>
      </c>
      <c r="W72" s="312"/>
      <c r="X72" s="314">
        <f>ROUND(X56+X62+SUM(X66:X71),5)</f>
        <v>25906.53</v>
      </c>
      <c r="Y72" s="312"/>
      <c r="Z72" s="314">
        <f>ROUND(Z56+Z62+SUM(Z66:Z71),5)</f>
        <v>29156.77</v>
      </c>
      <c r="AA72" s="312"/>
      <c r="AB72" s="314">
        <f>ROUND(AB56+AB62+SUM(AB66:AB71),5)</f>
        <v>25677.37</v>
      </c>
      <c r="AC72" s="312"/>
      <c r="AD72" s="314">
        <f>ROUND(AD56+AD62+SUM(AD66:AD71),5)</f>
        <v>27902.17</v>
      </c>
    </row>
    <row r="73" spans="1:30" x14ac:dyDescent="0.25">
      <c r="A73" s="485"/>
      <c r="B73" s="485"/>
      <c r="C73" s="485" t="s">
        <v>308</v>
      </c>
      <c r="D73" s="485"/>
      <c r="E73" s="485"/>
      <c r="F73" s="485"/>
      <c r="G73" s="485"/>
      <c r="H73" s="468">
        <f>ROUND(H42+H45+H55+H72,5)</f>
        <v>27629.85</v>
      </c>
      <c r="I73" s="312"/>
      <c r="J73" s="468">
        <f>ROUND(J42+J45+J55+J72,5)</f>
        <v>22515.8</v>
      </c>
      <c r="K73" s="312"/>
      <c r="L73" s="468">
        <f>ROUND(L42+L45+L55+L72,5)</f>
        <v>24836.23</v>
      </c>
      <c r="M73" s="312"/>
      <c r="N73" s="468">
        <f>ROUND(N42+N45+N55+N72,5)</f>
        <v>33773.46</v>
      </c>
      <c r="O73" s="312"/>
      <c r="P73" s="468">
        <f>ROUND(P42+P45+P55+P72,5)</f>
        <v>29341.8</v>
      </c>
      <c r="Q73" s="312"/>
      <c r="R73" s="468">
        <f>ROUND(R42+R45+R55+R72,5)</f>
        <v>14031.24</v>
      </c>
      <c r="S73" s="312"/>
      <c r="T73" s="468">
        <f>ROUND(T42+T45+T55+T72,5)</f>
        <v>27824.67</v>
      </c>
      <c r="U73" s="312"/>
      <c r="V73" s="468">
        <f>ROUND(V42+V45+V55+V72,5)</f>
        <v>33976.370000000003</v>
      </c>
      <c r="W73" s="312"/>
      <c r="X73" s="468">
        <f>ROUND(X42+X45+X55+X72,5)</f>
        <v>15369.05</v>
      </c>
      <c r="Y73" s="312"/>
      <c r="Z73" s="468">
        <f>ROUND(Z42+Z45+Z55+Z72,5)</f>
        <v>35603.68</v>
      </c>
      <c r="AA73" s="312"/>
      <c r="AB73" s="468">
        <f>ROUND(AB42+AB45+AB55+AB72,5)</f>
        <v>35009.81</v>
      </c>
      <c r="AC73" s="312"/>
      <c r="AD73" s="468">
        <f>ROUND(AD42+AD45+AD55+AD72,5)</f>
        <v>31238.720000000001</v>
      </c>
    </row>
    <row r="74" spans="1:30" x14ac:dyDescent="0.25">
      <c r="A74" s="485"/>
      <c r="B74" s="485"/>
      <c r="C74" s="485" t="s">
        <v>309</v>
      </c>
      <c r="D74" s="485"/>
      <c r="E74" s="485"/>
      <c r="F74" s="485"/>
      <c r="G74" s="485"/>
      <c r="H74" s="468"/>
      <c r="I74" s="312"/>
      <c r="J74" s="468"/>
      <c r="K74" s="312"/>
      <c r="L74" s="468"/>
      <c r="M74" s="312"/>
      <c r="N74" s="468"/>
      <c r="O74" s="312"/>
      <c r="P74" s="468"/>
      <c r="Q74" s="312"/>
      <c r="R74" s="468"/>
      <c r="S74" s="312"/>
      <c r="T74" s="468"/>
      <c r="U74" s="312"/>
      <c r="V74" s="468"/>
      <c r="W74" s="312"/>
      <c r="X74" s="468"/>
      <c r="Y74" s="312"/>
      <c r="Z74" s="468"/>
      <c r="AA74" s="312"/>
      <c r="AB74" s="468"/>
      <c r="AC74" s="312"/>
      <c r="AD74" s="468"/>
    </row>
    <row r="75" spans="1:30" ht="15.75" thickBot="1" x14ac:dyDescent="0.3">
      <c r="A75" s="485"/>
      <c r="B75" s="485"/>
      <c r="C75" s="485"/>
      <c r="D75" s="485" t="s">
        <v>310</v>
      </c>
      <c r="E75" s="485"/>
      <c r="F75" s="485"/>
      <c r="G75" s="485"/>
      <c r="H75" s="467">
        <v>8635.9</v>
      </c>
      <c r="I75" s="312"/>
      <c r="J75" s="467">
        <v>8537.85</v>
      </c>
      <c r="K75" s="312"/>
      <c r="L75" s="467">
        <v>8439.7999999999993</v>
      </c>
      <c r="M75" s="312"/>
      <c r="N75" s="467">
        <v>8341.75</v>
      </c>
      <c r="O75" s="312"/>
      <c r="P75" s="467">
        <v>8243.7000000000007</v>
      </c>
      <c r="Q75" s="312"/>
      <c r="R75" s="467">
        <v>8145.65</v>
      </c>
      <c r="S75" s="312"/>
      <c r="T75" s="467">
        <v>8047.6</v>
      </c>
      <c r="U75" s="312"/>
      <c r="V75" s="467">
        <v>7886.8</v>
      </c>
      <c r="W75" s="312"/>
      <c r="X75" s="467">
        <v>7886.8</v>
      </c>
      <c r="Y75" s="312"/>
      <c r="Z75" s="467">
        <v>7886.8</v>
      </c>
      <c r="AA75" s="312"/>
      <c r="AB75" s="467">
        <v>7886.8</v>
      </c>
      <c r="AC75" s="312"/>
      <c r="AD75" s="467">
        <v>7886.8</v>
      </c>
    </row>
    <row r="76" spans="1:30" ht="15.75" thickBot="1" x14ac:dyDescent="0.3">
      <c r="A76" s="485"/>
      <c r="B76" s="485"/>
      <c r="C76" s="485" t="s">
        <v>311</v>
      </c>
      <c r="D76" s="485"/>
      <c r="E76" s="485"/>
      <c r="F76" s="485"/>
      <c r="G76" s="485"/>
      <c r="H76" s="314">
        <f>ROUND(SUM(H74:H75),5)</f>
        <v>8635.9</v>
      </c>
      <c r="I76" s="312"/>
      <c r="J76" s="314">
        <f>ROUND(SUM(J74:J75),5)</f>
        <v>8537.85</v>
      </c>
      <c r="K76" s="312"/>
      <c r="L76" s="314">
        <f>ROUND(SUM(L74:L75),5)</f>
        <v>8439.7999999999993</v>
      </c>
      <c r="M76" s="312"/>
      <c r="N76" s="314">
        <f>ROUND(SUM(N74:N75),5)</f>
        <v>8341.75</v>
      </c>
      <c r="O76" s="312"/>
      <c r="P76" s="314">
        <f>ROUND(SUM(P74:P75),5)</f>
        <v>8243.7000000000007</v>
      </c>
      <c r="Q76" s="312"/>
      <c r="R76" s="314">
        <f>ROUND(SUM(R74:R75),5)</f>
        <v>8145.65</v>
      </c>
      <c r="S76" s="312"/>
      <c r="T76" s="314">
        <f>ROUND(SUM(T74:T75),5)</f>
        <v>8047.6</v>
      </c>
      <c r="U76" s="312"/>
      <c r="V76" s="314">
        <f>ROUND(SUM(V74:V75),5)</f>
        <v>7886.8</v>
      </c>
      <c r="W76" s="312"/>
      <c r="X76" s="314">
        <f>ROUND(SUM(X74:X75),5)</f>
        <v>7886.8</v>
      </c>
      <c r="Y76" s="312"/>
      <c r="Z76" s="314">
        <f>ROUND(SUM(Z74:Z75),5)</f>
        <v>7886.8</v>
      </c>
      <c r="AA76" s="312"/>
      <c r="AB76" s="314">
        <f>ROUND(SUM(AB74:AB75),5)</f>
        <v>7886.8</v>
      </c>
      <c r="AC76" s="312"/>
      <c r="AD76" s="314">
        <f>ROUND(SUM(AD74:AD75),5)</f>
        <v>7886.8</v>
      </c>
    </row>
    <row r="77" spans="1:30" x14ac:dyDescent="0.25">
      <c r="A77" s="485"/>
      <c r="B77" s="485" t="s">
        <v>312</v>
      </c>
      <c r="C77" s="485"/>
      <c r="D77" s="485"/>
      <c r="E77" s="485"/>
      <c r="F77" s="485"/>
      <c r="G77" s="485"/>
      <c r="H77" s="468">
        <f>ROUND(H41+H73+H76,5)</f>
        <v>36265.75</v>
      </c>
      <c r="I77" s="312"/>
      <c r="J77" s="468">
        <f>ROUND(J41+J73+J76,5)</f>
        <v>31053.65</v>
      </c>
      <c r="K77" s="312"/>
      <c r="L77" s="468">
        <f>ROUND(L41+L73+L76,5)</f>
        <v>33276.03</v>
      </c>
      <c r="M77" s="312"/>
      <c r="N77" s="468">
        <f>ROUND(N41+N73+N76,5)</f>
        <v>42115.21</v>
      </c>
      <c r="O77" s="312"/>
      <c r="P77" s="468">
        <f>ROUND(P41+P73+P76,5)</f>
        <v>37585.5</v>
      </c>
      <c r="Q77" s="312"/>
      <c r="R77" s="468">
        <f>ROUND(R41+R73+R76,5)</f>
        <v>22176.89</v>
      </c>
      <c r="S77" s="312"/>
      <c r="T77" s="468">
        <f>ROUND(T41+T73+T76,5)</f>
        <v>35872.269999999997</v>
      </c>
      <c r="U77" s="312"/>
      <c r="V77" s="468">
        <f>ROUND(V41+V73+V76,5)</f>
        <v>41863.17</v>
      </c>
      <c r="W77" s="312"/>
      <c r="X77" s="468">
        <f>ROUND(X41+X73+X76,5)</f>
        <v>23255.85</v>
      </c>
      <c r="Y77" s="312"/>
      <c r="Z77" s="468">
        <f>ROUND(Z41+Z73+Z76,5)</f>
        <v>43490.48</v>
      </c>
      <c r="AA77" s="312"/>
      <c r="AB77" s="468">
        <f>ROUND(AB41+AB73+AB76,5)</f>
        <v>42896.61</v>
      </c>
      <c r="AC77" s="312"/>
      <c r="AD77" s="468">
        <f>ROUND(AD41+AD73+AD76,5)</f>
        <v>39125.519999999997</v>
      </c>
    </row>
    <row r="78" spans="1:30" x14ac:dyDescent="0.25">
      <c r="A78" s="485"/>
      <c r="B78" s="485" t="s">
        <v>313</v>
      </c>
      <c r="C78" s="485"/>
      <c r="D78" s="485"/>
      <c r="E78" s="485"/>
      <c r="F78" s="485"/>
      <c r="G78" s="485"/>
      <c r="H78" s="468"/>
      <c r="I78" s="312"/>
      <c r="J78" s="468"/>
      <c r="K78" s="312"/>
      <c r="L78" s="468"/>
      <c r="M78" s="312"/>
      <c r="N78" s="468"/>
      <c r="O78" s="312"/>
      <c r="P78" s="468"/>
      <c r="Q78" s="312"/>
      <c r="R78" s="468"/>
      <c r="S78" s="312"/>
      <c r="T78" s="468"/>
      <c r="U78" s="312"/>
      <c r="V78" s="468"/>
      <c r="W78" s="312"/>
      <c r="X78" s="468"/>
      <c r="Y78" s="312"/>
      <c r="Z78" s="468"/>
      <c r="AA78" s="312"/>
      <c r="AB78" s="468"/>
      <c r="AC78" s="312"/>
      <c r="AD78" s="468"/>
    </row>
    <row r="79" spans="1:30" x14ac:dyDescent="0.25">
      <c r="A79" s="485"/>
      <c r="B79" s="485"/>
      <c r="C79" s="485" t="s">
        <v>314</v>
      </c>
      <c r="D79" s="485"/>
      <c r="E79" s="485"/>
      <c r="F79" s="485"/>
      <c r="G79" s="485"/>
      <c r="H79" s="468">
        <v>-27290.2</v>
      </c>
      <c r="I79" s="312"/>
      <c r="J79" s="468">
        <v>53886.73</v>
      </c>
      <c r="K79" s="312"/>
      <c r="L79" s="468">
        <v>54494.48</v>
      </c>
      <c r="M79" s="312"/>
      <c r="N79" s="468">
        <v>54494.48</v>
      </c>
      <c r="O79" s="312"/>
      <c r="P79" s="468">
        <v>62564.54</v>
      </c>
      <c r="Q79" s="312"/>
      <c r="R79" s="468">
        <v>67085.86</v>
      </c>
      <c r="S79" s="312"/>
      <c r="T79" s="468">
        <v>71419.929999999993</v>
      </c>
      <c r="U79" s="312"/>
      <c r="V79" s="468">
        <v>74980.98</v>
      </c>
      <c r="W79" s="312"/>
      <c r="X79" s="468">
        <v>79314.11</v>
      </c>
      <c r="Y79" s="312"/>
      <c r="Z79" s="468">
        <v>83543.37</v>
      </c>
      <c r="AA79" s="312"/>
      <c r="AB79" s="468">
        <v>88129.02</v>
      </c>
      <c r="AC79" s="312"/>
      <c r="AD79" s="468">
        <v>88562.79</v>
      </c>
    </row>
    <row r="80" spans="1:30" x14ac:dyDescent="0.25">
      <c r="A80" s="485"/>
      <c r="B80" s="485"/>
      <c r="C80" s="485" t="s">
        <v>315</v>
      </c>
      <c r="D80" s="485"/>
      <c r="E80" s="485"/>
      <c r="F80" s="485"/>
      <c r="G80" s="485"/>
      <c r="H80" s="468"/>
      <c r="I80" s="312"/>
      <c r="J80" s="468"/>
      <c r="K80" s="312"/>
      <c r="L80" s="468"/>
      <c r="M80" s="312"/>
      <c r="N80" s="468"/>
      <c r="O80" s="312"/>
      <c r="P80" s="468"/>
      <c r="Q80" s="312"/>
      <c r="R80" s="468"/>
      <c r="S80" s="312"/>
      <c r="T80" s="468"/>
      <c r="U80" s="312"/>
      <c r="V80" s="468"/>
      <c r="W80" s="312"/>
      <c r="X80" s="468"/>
      <c r="Y80" s="312"/>
      <c r="Z80" s="468"/>
      <c r="AA80" s="312"/>
      <c r="AB80" s="468"/>
      <c r="AC80" s="312"/>
      <c r="AD80" s="468"/>
    </row>
    <row r="81" spans="1:30" x14ac:dyDescent="0.25">
      <c r="A81" s="485"/>
      <c r="B81" s="485"/>
      <c r="C81" s="485"/>
      <c r="D81" s="485" t="s">
        <v>316</v>
      </c>
      <c r="E81" s="485"/>
      <c r="F81" s="485"/>
      <c r="G81" s="485"/>
      <c r="H81" s="468">
        <v>21353.46</v>
      </c>
      <c r="I81" s="312"/>
      <c r="J81" s="468">
        <v>21353.46</v>
      </c>
      <c r="K81" s="312"/>
      <c r="L81" s="468">
        <v>21353.46</v>
      </c>
      <c r="M81" s="312"/>
      <c r="N81" s="468">
        <v>21353.46</v>
      </c>
      <c r="O81" s="312"/>
      <c r="P81" s="468">
        <v>21353.46</v>
      </c>
      <c r="Q81" s="312"/>
      <c r="R81" s="468">
        <v>21353.46</v>
      </c>
      <c r="S81" s="312"/>
      <c r="T81" s="468">
        <v>21353.46</v>
      </c>
      <c r="U81" s="312"/>
      <c r="V81" s="468">
        <v>21353.46</v>
      </c>
      <c r="W81" s="312"/>
      <c r="X81" s="468">
        <v>21353.46</v>
      </c>
      <c r="Y81" s="312"/>
      <c r="Z81" s="468">
        <v>21353.46</v>
      </c>
      <c r="AA81" s="312"/>
      <c r="AB81" s="468">
        <v>21353.46</v>
      </c>
      <c r="AC81" s="312"/>
      <c r="AD81" s="468">
        <v>21353.46</v>
      </c>
    </row>
    <row r="82" spans="1:30" x14ac:dyDescent="0.25">
      <c r="A82" s="485"/>
      <c r="B82" s="485"/>
      <c r="C82" s="485"/>
      <c r="D82" s="485" t="s">
        <v>317</v>
      </c>
      <c r="E82" s="485"/>
      <c r="F82" s="485"/>
      <c r="G82" s="485"/>
      <c r="H82" s="468">
        <v>95480.42</v>
      </c>
      <c r="I82" s="312"/>
      <c r="J82" s="468">
        <v>95480.42</v>
      </c>
      <c r="K82" s="312"/>
      <c r="L82" s="468">
        <v>95480.42</v>
      </c>
      <c r="M82" s="312"/>
      <c r="N82" s="468">
        <v>95480.42</v>
      </c>
      <c r="O82" s="312"/>
      <c r="P82" s="468">
        <v>95480.42</v>
      </c>
      <c r="Q82" s="312"/>
      <c r="R82" s="468">
        <v>95480.42</v>
      </c>
      <c r="S82" s="312"/>
      <c r="T82" s="468">
        <v>95480.42</v>
      </c>
      <c r="U82" s="312"/>
      <c r="V82" s="468">
        <v>95480.42</v>
      </c>
      <c r="W82" s="312"/>
      <c r="X82" s="468">
        <v>95480.42</v>
      </c>
      <c r="Y82" s="312"/>
      <c r="Z82" s="468">
        <v>95480.42</v>
      </c>
      <c r="AA82" s="312"/>
      <c r="AB82" s="468">
        <v>95480.42</v>
      </c>
      <c r="AC82" s="312"/>
      <c r="AD82" s="468">
        <v>95480.42</v>
      </c>
    </row>
    <row r="83" spans="1:30" ht="15.75" thickBot="1" x14ac:dyDescent="0.3">
      <c r="A83" s="485"/>
      <c r="B83" s="485"/>
      <c r="C83" s="485"/>
      <c r="D83" s="485" t="s">
        <v>318</v>
      </c>
      <c r="E83" s="485"/>
      <c r="F83" s="485"/>
      <c r="G83" s="485"/>
      <c r="H83" s="313">
        <v>57023.37</v>
      </c>
      <c r="I83" s="312"/>
      <c r="J83" s="313">
        <v>56315.33</v>
      </c>
      <c r="K83" s="312"/>
      <c r="L83" s="313">
        <v>55707.58</v>
      </c>
      <c r="M83" s="312"/>
      <c r="N83" s="313">
        <v>55707.58</v>
      </c>
      <c r="O83" s="312"/>
      <c r="P83" s="313">
        <v>47637.52</v>
      </c>
      <c r="Q83" s="312"/>
      <c r="R83" s="313">
        <v>43116.2</v>
      </c>
      <c r="S83" s="312"/>
      <c r="T83" s="313">
        <v>38782.129999999997</v>
      </c>
      <c r="U83" s="312"/>
      <c r="V83" s="313">
        <v>35221.08</v>
      </c>
      <c r="W83" s="312"/>
      <c r="X83" s="313">
        <v>30887.95</v>
      </c>
      <c r="Y83" s="312"/>
      <c r="Z83" s="313">
        <v>26658.69</v>
      </c>
      <c r="AA83" s="312"/>
      <c r="AB83" s="313">
        <v>22073.040000000001</v>
      </c>
      <c r="AC83" s="312"/>
      <c r="AD83" s="313">
        <v>21639.27</v>
      </c>
    </row>
    <row r="84" spans="1:30" x14ac:dyDescent="0.25">
      <c r="A84" s="485"/>
      <c r="B84" s="485"/>
      <c r="C84" s="485" t="s">
        <v>319</v>
      </c>
      <c r="D84" s="485"/>
      <c r="E84" s="485"/>
      <c r="F84" s="485"/>
      <c r="G84" s="485"/>
      <c r="H84" s="468">
        <f>ROUND(SUM(H80:H83),5)</f>
        <v>173857.25</v>
      </c>
      <c r="I84" s="312"/>
      <c r="J84" s="468">
        <f>ROUND(SUM(J80:J83),5)</f>
        <v>173149.21</v>
      </c>
      <c r="K84" s="312"/>
      <c r="L84" s="468">
        <f>ROUND(SUM(L80:L83),5)</f>
        <v>172541.46</v>
      </c>
      <c r="M84" s="312"/>
      <c r="N84" s="468">
        <f>ROUND(SUM(N80:N83),5)</f>
        <v>172541.46</v>
      </c>
      <c r="O84" s="312"/>
      <c r="P84" s="468">
        <f>ROUND(SUM(P80:P83),5)</f>
        <v>164471.4</v>
      </c>
      <c r="Q84" s="312"/>
      <c r="R84" s="468">
        <f>ROUND(SUM(R80:R83),5)</f>
        <v>159950.07999999999</v>
      </c>
      <c r="S84" s="312"/>
      <c r="T84" s="468">
        <f>ROUND(SUM(T80:T83),5)</f>
        <v>155616.01</v>
      </c>
      <c r="U84" s="312"/>
      <c r="V84" s="468">
        <f>ROUND(SUM(V80:V83),5)</f>
        <v>152054.96</v>
      </c>
      <c r="W84" s="312"/>
      <c r="X84" s="468">
        <f>ROUND(SUM(X80:X83),5)</f>
        <v>147721.82999999999</v>
      </c>
      <c r="Y84" s="312"/>
      <c r="Z84" s="468">
        <f>ROUND(SUM(Z80:Z83),5)</f>
        <v>143492.57</v>
      </c>
      <c r="AA84" s="312"/>
      <c r="AB84" s="468">
        <f>ROUND(SUM(AB80:AB83),5)</f>
        <v>138906.92000000001</v>
      </c>
      <c r="AC84" s="312"/>
      <c r="AD84" s="468">
        <f>ROUND(SUM(AD80:AD83),5)</f>
        <v>138473.15</v>
      </c>
    </row>
    <row r="85" spans="1:30" ht="15.75" thickBot="1" x14ac:dyDescent="0.3">
      <c r="A85" s="485"/>
      <c r="B85" s="485"/>
      <c r="C85" s="485" t="s">
        <v>187</v>
      </c>
      <c r="D85" s="485"/>
      <c r="E85" s="485"/>
      <c r="F85" s="485"/>
      <c r="G85" s="485"/>
      <c r="H85" s="467">
        <v>80468.89</v>
      </c>
      <c r="I85" s="312"/>
      <c r="J85" s="467">
        <v>53619.98</v>
      </c>
      <c r="K85" s="312"/>
      <c r="L85" s="467">
        <v>50979.01</v>
      </c>
      <c r="M85" s="312"/>
      <c r="N85" s="467">
        <v>46838.62</v>
      </c>
      <c r="O85" s="312"/>
      <c r="P85" s="467">
        <v>77535.7</v>
      </c>
      <c r="Q85" s="312"/>
      <c r="R85" s="467">
        <v>72776.639999999999</v>
      </c>
      <c r="S85" s="312"/>
      <c r="T85" s="467">
        <v>48076.56</v>
      </c>
      <c r="U85" s="312"/>
      <c r="V85" s="467">
        <v>56885.49</v>
      </c>
      <c r="W85" s="312"/>
      <c r="X85" s="467">
        <v>60520.82</v>
      </c>
      <c r="Y85" s="312"/>
      <c r="Z85" s="467">
        <v>19225.61</v>
      </c>
      <c r="AA85" s="312"/>
      <c r="AB85" s="467">
        <v>5989.69</v>
      </c>
      <c r="AC85" s="312"/>
      <c r="AD85" s="467">
        <v>-3630.35</v>
      </c>
    </row>
    <row r="86" spans="1:30" ht="15.75" thickBot="1" x14ac:dyDescent="0.3">
      <c r="A86" s="485"/>
      <c r="B86" s="485" t="s">
        <v>320</v>
      </c>
      <c r="C86" s="485"/>
      <c r="D86" s="485"/>
      <c r="E86" s="485"/>
      <c r="F86" s="485"/>
      <c r="G86" s="485"/>
      <c r="H86" s="315">
        <f>ROUND(SUM(H78:H79)+SUM(H84:H85),5)</f>
        <v>227035.94</v>
      </c>
      <c r="I86" s="312"/>
      <c r="J86" s="315">
        <f>ROUND(SUM(J78:J79)+SUM(J84:J85),5)</f>
        <v>280655.92</v>
      </c>
      <c r="K86" s="312"/>
      <c r="L86" s="315">
        <f>ROUND(SUM(L78:L79)+SUM(L84:L85),5)</f>
        <v>278014.95</v>
      </c>
      <c r="M86" s="312"/>
      <c r="N86" s="315">
        <f>ROUND(SUM(N78:N79)+SUM(N84:N85),5)</f>
        <v>273874.56</v>
      </c>
      <c r="O86" s="312"/>
      <c r="P86" s="315">
        <f>ROUND(SUM(P78:P79)+SUM(P84:P85),5)</f>
        <v>304571.64</v>
      </c>
      <c r="Q86" s="312"/>
      <c r="R86" s="315">
        <f>ROUND(SUM(R78:R79)+SUM(R84:R85),5)</f>
        <v>299812.58</v>
      </c>
      <c r="S86" s="312"/>
      <c r="T86" s="315">
        <f>ROUND(SUM(T78:T79)+SUM(T84:T85),5)</f>
        <v>275112.5</v>
      </c>
      <c r="U86" s="312"/>
      <c r="V86" s="315">
        <f>ROUND(SUM(V78:V79)+SUM(V84:V85),5)</f>
        <v>283921.43</v>
      </c>
      <c r="W86" s="312"/>
      <c r="X86" s="315">
        <f>ROUND(SUM(X78:X79)+SUM(X84:X85),5)</f>
        <v>287556.76</v>
      </c>
      <c r="Y86" s="312"/>
      <c r="Z86" s="315">
        <f>ROUND(SUM(Z78:Z79)+SUM(Z84:Z85),5)</f>
        <v>246261.55</v>
      </c>
      <c r="AA86" s="312"/>
      <c r="AB86" s="315">
        <f>ROUND(SUM(AB78:AB79)+SUM(AB84:AB85),5)</f>
        <v>233025.63</v>
      </c>
      <c r="AC86" s="312"/>
      <c r="AD86" s="315">
        <f>ROUND(SUM(AD78:AD79)+SUM(AD84:AD85),5)</f>
        <v>223405.59</v>
      </c>
    </row>
    <row r="87" spans="1:30" s="317" customFormat="1" ht="12" thickBot="1" x14ac:dyDescent="0.25">
      <c r="A87" s="485" t="s">
        <v>321</v>
      </c>
      <c r="B87" s="485"/>
      <c r="C87" s="485"/>
      <c r="D87" s="485"/>
      <c r="E87" s="485"/>
      <c r="F87" s="485"/>
      <c r="G87" s="485"/>
      <c r="H87" s="316">
        <f>ROUND(H40+H77+H86,5)</f>
        <v>263301.69</v>
      </c>
      <c r="I87" s="485"/>
      <c r="J87" s="316">
        <f>ROUND(J40+J77+J86,5)</f>
        <v>311709.57</v>
      </c>
      <c r="K87" s="485"/>
      <c r="L87" s="316">
        <f>ROUND(L40+L77+L86,5)</f>
        <v>311290.98</v>
      </c>
      <c r="M87" s="485"/>
      <c r="N87" s="316">
        <f>ROUND(N40+N77+N86,5)</f>
        <v>315989.77</v>
      </c>
      <c r="O87" s="485"/>
      <c r="P87" s="316">
        <f>ROUND(P40+P77+P86,5)</f>
        <v>342157.14</v>
      </c>
      <c r="Q87" s="485"/>
      <c r="R87" s="316">
        <f>ROUND(R40+R77+R86,5)</f>
        <v>321989.46999999997</v>
      </c>
      <c r="S87" s="485"/>
      <c r="T87" s="316">
        <f>ROUND(T40+T77+T86,5)</f>
        <v>310984.77</v>
      </c>
      <c r="U87" s="485"/>
      <c r="V87" s="316">
        <f>ROUND(V40+V77+V86,5)</f>
        <v>325784.59999999998</v>
      </c>
      <c r="W87" s="485"/>
      <c r="X87" s="316">
        <f>ROUND(X40+X77+X86,5)</f>
        <v>310812.61</v>
      </c>
      <c r="Y87" s="485"/>
      <c r="Z87" s="316">
        <f>ROUND(Z40+Z77+Z86,5)</f>
        <v>289752.03000000003</v>
      </c>
      <c r="AA87" s="485"/>
      <c r="AB87" s="316">
        <f>ROUND(AB40+AB77+AB86,5)</f>
        <v>275922.24</v>
      </c>
      <c r="AC87" s="485"/>
      <c r="AD87" s="316">
        <f>ROUND(AD40+AD77+AD86,5)</f>
        <v>262531.11</v>
      </c>
    </row>
    <row r="88" spans="1:30" ht="15.75" thickTop="1" x14ac:dyDescent="0.25"/>
  </sheetData>
  <pageMargins left="0.45" right="0.45" top="0.75" bottom="0.5" header="0.1" footer="0.3"/>
  <pageSetup scale="85" orientation="portrait" r:id="rId1"/>
  <headerFooter>
    <oddHeader>&amp;L&amp;"Arial,Bold"&amp;8 7:28 AM
 01/02/19
 Accrual Basis&amp;C&amp;"Arial,Bold"&amp;12 League of Women Voters of California
&amp;14 Statement of Financial Position
&amp;10 As of November 30, 2018</oddHeader>
    <oddFooter>&amp;R&amp;"Arial,Bold"&amp;8 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12"/>
  <sheetViews>
    <sheetView topLeftCell="A44" zoomScaleNormal="100" workbookViewId="0">
      <selection activeCell="E73" sqref="E73"/>
    </sheetView>
  </sheetViews>
  <sheetFormatPr defaultRowHeight="15" x14ac:dyDescent="0.25"/>
  <cols>
    <col min="1" max="1" width="29.85546875" style="462" customWidth="1"/>
    <col min="2" max="2" width="10" style="462" bestFit="1" customWidth="1"/>
    <col min="3" max="3" width="12.7109375" style="462" bestFit="1" customWidth="1"/>
    <col min="4" max="4" width="13.28515625" style="462" bestFit="1" customWidth="1"/>
    <col min="5" max="5" width="13.28515625" style="462" customWidth="1"/>
    <col min="6" max="6" width="11.7109375" style="462" customWidth="1"/>
    <col min="7" max="7" width="1.85546875" style="401" customWidth="1"/>
    <col min="8" max="8" width="16.140625" style="462" customWidth="1"/>
    <col min="9" max="9" width="14.42578125" style="462" customWidth="1"/>
    <col min="10" max="10" width="12.28515625" style="462" customWidth="1"/>
    <col min="11" max="11" width="12" style="462" customWidth="1"/>
    <col min="12" max="12" width="12.5703125" style="462" customWidth="1"/>
    <col min="13" max="13" width="24.42578125" style="462" customWidth="1"/>
    <col min="14" max="14" width="10.85546875" style="462" customWidth="1"/>
    <col min="15" max="15" width="11.7109375" style="462" customWidth="1"/>
    <col min="16" max="16" width="12.140625" style="462" customWidth="1"/>
    <col min="17" max="16384" width="9.140625" style="462"/>
  </cols>
  <sheetData>
    <row r="1" spans="1:7" x14ac:dyDescent="0.25">
      <c r="A1" s="105" t="s">
        <v>322</v>
      </c>
    </row>
    <row r="2" spans="1:7" ht="15.75" thickBot="1" x14ac:dyDescent="0.3">
      <c r="A2" s="9" t="s">
        <v>518</v>
      </c>
      <c r="B2" s="6"/>
      <c r="C2" s="6"/>
      <c r="D2" s="6"/>
      <c r="E2" s="6"/>
      <c r="G2" s="7"/>
    </row>
    <row r="3" spans="1:7" ht="48" customHeight="1" x14ac:dyDescent="0.25">
      <c r="A3" s="42" t="s">
        <v>323</v>
      </c>
      <c r="B3" s="106" t="s">
        <v>56</v>
      </c>
      <c r="C3" s="106" t="s">
        <v>70</v>
      </c>
      <c r="D3" s="15" t="s">
        <v>50</v>
      </c>
      <c r="E3" s="15" t="s">
        <v>324</v>
      </c>
      <c r="G3" s="16"/>
    </row>
    <row r="4" spans="1:7" x14ac:dyDescent="0.25">
      <c r="A4" s="107" t="s">
        <v>7</v>
      </c>
      <c r="B4" s="22">
        <f>+B27</f>
        <v>261420</v>
      </c>
      <c r="C4" s="507">
        <f>+C27</f>
        <v>223959.4</v>
      </c>
      <c r="D4" s="24">
        <f>B4-C4</f>
        <v>37460.600000000006</v>
      </c>
      <c r="E4" s="108">
        <f>+C4/B4</f>
        <v>0.85670338918215894</v>
      </c>
      <c r="G4" s="20"/>
    </row>
    <row r="5" spans="1:7" x14ac:dyDescent="0.25">
      <c r="A5" s="32" t="s">
        <v>9</v>
      </c>
      <c r="B5" s="33">
        <f>SUM(B4:B4)</f>
        <v>261420</v>
      </c>
      <c r="C5" s="505">
        <f>SUM(C4:C4)</f>
        <v>223959.4</v>
      </c>
      <c r="D5" s="24">
        <f>B5-C5</f>
        <v>37460.600000000006</v>
      </c>
      <c r="E5" s="108">
        <f>+C5/B5</f>
        <v>0.85670338918215894</v>
      </c>
      <c r="G5" s="20"/>
    </row>
    <row r="6" spans="1:7" x14ac:dyDescent="0.25">
      <c r="A6" s="38" t="s">
        <v>46</v>
      </c>
      <c r="B6" s="33">
        <v>12589</v>
      </c>
      <c r="C6" s="33">
        <v>0</v>
      </c>
      <c r="D6" s="24">
        <f>B6-C6</f>
        <v>12589</v>
      </c>
      <c r="E6" s="108">
        <f>+C6/B6</f>
        <v>0</v>
      </c>
      <c r="G6" s="20"/>
    </row>
    <row r="7" spans="1:7" x14ac:dyDescent="0.25">
      <c r="A7" s="21" t="s">
        <v>325</v>
      </c>
      <c r="B7" s="126">
        <f>219497-12589</f>
        <v>206908</v>
      </c>
      <c r="C7" s="33">
        <f>'FASB117 '!H48-'FASB117 '!H29</f>
        <v>277867.26</v>
      </c>
      <c r="D7" s="109">
        <f>B7-C7</f>
        <v>-70959.260000000009</v>
      </c>
      <c r="E7" s="108">
        <f>+C7/B7</f>
        <v>1.342950780056837</v>
      </c>
      <c r="G7" s="20"/>
    </row>
    <row r="8" spans="1:7" ht="15.75" thickBot="1" x14ac:dyDescent="0.3">
      <c r="A8" s="110" t="s">
        <v>15</v>
      </c>
      <c r="B8" s="101">
        <f>+B5-B7-B6</f>
        <v>41923</v>
      </c>
      <c r="C8" s="506">
        <f>+C5-C7-C6</f>
        <v>-53907.860000000015</v>
      </c>
      <c r="D8" s="111">
        <f>+B8-C8</f>
        <v>95830.860000000015</v>
      </c>
      <c r="E8" s="112">
        <f>+C8/B8</f>
        <v>-1.2858779190420537</v>
      </c>
      <c r="G8" s="20"/>
    </row>
    <row r="9" spans="1:7" x14ac:dyDescent="0.25">
      <c r="A9" s="21"/>
      <c r="B9" s="29"/>
      <c r="C9" s="7"/>
      <c r="D9" s="25"/>
      <c r="E9" s="20"/>
      <c r="G9" s="20"/>
    </row>
    <row r="10" spans="1:7" x14ac:dyDescent="0.25">
      <c r="A10" s="21" t="s">
        <v>326</v>
      </c>
      <c r="B10" s="302">
        <v>47269</v>
      </c>
      <c r="C10" s="30"/>
      <c r="D10" s="25"/>
      <c r="E10" s="20"/>
      <c r="G10" s="20"/>
    </row>
    <row r="11" spans="1:7" ht="15.75" thickBot="1" x14ac:dyDescent="0.3">
      <c r="A11" s="110" t="s">
        <v>327</v>
      </c>
      <c r="B11" s="304">
        <f>+B10+B8</f>
        <v>89192</v>
      </c>
      <c r="C11" s="22"/>
      <c r="D11" s="25"/>
      <c r="E11" s="20"/>
      <c r="G11" s="20"/>
    </row>
    <row r="12" spans="1:7" ht="15.75" thickBot="1" x14ac:dyDescent="0.3">
      <c r="A12" s="110"/>
      <c r="B12" s="62"/>
      <c r="C12" s="7"/>
      <c r="D12" s="25"/>
      <c r="E12" s="20"/>
      <c r="G12" s="20"/>
    </row>
    <row r="13" spans="1:7" x14ac:dyDescent="0.25">
      <c r="A13" s="42" t="s">
        <v>328</v>
      </c>
      <c r="B13" s="113"/>
      <c r="C13" s="7"/>
      <c r="D13" s="7"/>
      <c r="E13" s="7"/>
      <c r="G13" s="7"/>
    </row>
    <row r="14" spans="1:7" x14ac:dyDescent="0.25">
      <c r="A14" s="107" t="s">
        <v>25</v>
      </c>
      <c r="B14" s="70">
        <f>+B11-B15</f>
        <v>50146</v>
      </c>
      <c r="C14" s="22"/>
      <c r="D14" s="25"/>
      <c r="E14" s="20"/>
      <c r="G14" s="20"/>
    </row>
    <row r="15" spans="1:7" x14ac:dyDescent="0.25">
      <c r="A15" s="107" t="s">
        <v>329</v>
      </c>
      <c r="B15" s="70">
        <v>39046</v>
      </c>
      <c r="C15" s="33"/>
      <c r="D15" s="25"/>
      <c r="E15" s="20"/>
      <c r="G15" s="20"/>
    </row>
    <row r="16" spans="1:7" x14ac:dyDescent="0.25">
      <c r="A16" s="107" t="s">
        <v>23</v>
      </c>
      <c r="B16" s="70"/>
      <c r="C16" s="33"/>
      <c r="D16" s="25"/>
      <c r="E16" s="20"/>
      <c r="G16" s="20"/>
    </row>
    <row r="17" spans="1:11" ht="15.75" thickBot="1" x14ac:dyDescent="0.3">
      <c r="A17" s="36" t="s">
        <v>330</v>
      </c>
      <c r="B17" s="338">
        <f>SUM(B14:B16)</f>
        <v>89192</v>
      </c>
      <c r="C17" s="52"/>
      <c r="D17" s="25"/>
      <c r="E17" s="20"/>
      <c r="G17" s="20"/>
    </row>
    <row r="18" spans="1:11" x14ac:dyDescent="0.25">
      <c r="A18" s="39"/>
      <c r="B18" s="40"/>
      <c r="C18" s="40"/>
      <c r="D18" s="6"/>
      <c r="E18" s="39"/>
      <c r="G18" s="39"/>
    </row>
    <row r="19" spans="1:11" x14ac:dyDescent="0.25">
      <c r="A19" s="114"/>
      <c r="B19" s="115"/>
      <c r="C19" s="115"/>
      <c r="E19" s="114"/>
      <c r="G19" s="114"/>
      <c r="H19" s="114"/>
      <c r="I19" s="115"/>
      <c r="J19" s="115"/>
      <c r="K19" s="115"/>
    </row>
    <row r="20" spans="1:11" ht="15.75" thickBot="1" x14ac:dyDescent="0.3">
      <c r="A20" s="114"/>
      <c r="B20" s="115"/>
      <c r="C20" s="115"/>
      <c r="J20" s="92"/>
    </row>
    <row r="21" spans="1:11" ht="30" x14ac:dyDescent="0.25">
      <c r="A21" s="116" t="s">
        <v>331</v>
      </c>
      <c r="B21" s="117" t="s">
        <v>56</v>
      </c>
      <c r="C21" s="117" t="s">
        <v>70</v>
      </c>
      <c r="D21" s="118" t="s">
        <v>50</v>
      </c>
      <c r="E21" s="118" t="s">
        <v>324</v>
      </c>
      <c r="G21" s="119"/>
      <c r="H21" s="119"/>
      <c r="I21" s="86"/>
      <c r="J21" s="2"/>
    </row>
    <row r="22" spans="1:11" x14ac:dyDescent="0.25">
      <c r="A22" s="120" t="s">
        <v>332</v>
      </c>
      <c r="B22" s="121">
        <v>155000</v>
      </c>
      <c r="C22" s="153">
        <f>'LWVCEF-Stmt.of Act. By Class'!BA14</f>
        <v>165133.57999999999</v>
      </c>
      <c r="D22" s="80">
        <f t="shared" ref="D22:D27" si="0">+B22-C22</f>
        <v>-10133.579999999987</v>
      </c>
      <c r="E22" s="122">
        <f t="shared" ref="E22:E27" si="1">+C22/B22</f>
        <v>1.0653779354838708</v>
      </c>
      <c r="G22" s="123"/>
      <c r="H22" s="123"/>
      <c r="I22" s="124"/>
      <c r="J22" s="2"/>
    </row>
    <row r="23" spans="1:11" x14ac:dyDescent="0.25">
      <c r="A23" s="125" t="s">
        <v>333</v>
      </c>
      <c r="B23" s="126">
        <v>9950</v>
      </c>
      <c r="C23" s="126">
        <f>'LWVCEF-Stmt.of Act. By Class'!BA11+'LWVCEF-Stmt.of Act. By Class'!BA13+'LWVCEF-Stmt.of Act. By Class'!BA16+'LWVCEF-Stmt.of Act. By Class'!BA17+'LWVCEF-Stmt.of Act. By Class'!BA18</f>
        <v>26284.67</v>
      </c>
      <c r="D23" s="80">
        <f t="shared" si="0"/>
        <v>-16334.669999999998</v>
      </c>
      <c r="E23" s="122">
        <f t="shared" si="1"/>
        <v>2.6416753768844221</v>
      </c>
      <c r="G23" s="123"/>
      <c r="H23" s="123"/>
      <c r="I23" s="127"/>
      <c r="J23" s="2"/>
    </row>
    <row r="24" spans="1:11" x14ac:dyDescent="0.25">
      <c r="A24" s="125" t="s">
        <v>334</v>
      </c>
      <c r="B24" s="126">
        <v>80000</v>
      </c>
      <c r="C24" s="126">
        <f>'LWVCEF-Stmt.of Act. By Class'!BB25</f>
        <v>24768.400000000001</v>
      </c>
      <c r="D24" s="80">
        <f t="shared" si="0"/>
        <v>55231.6</v>
      </c>
      <c r="E24" s="122">
        <f t="shared" si="1"/>
        <v>0.30960500000000002</v>
      </c>
      <c r="G24" s="123"/>
      <c r="H24" s="123"/>
      <c r="I24" s="2"/>
      <c r="J24" s="2"/>
    </row>
    <row r="25" spans="1:11" x14ac:dyDescent="0.25">
      <c r="A25" s="125" t="s">
        <v>335</v>
      </c>
      <c r="B25" s="126">
        <v>10000</v>
      </c>
      <c r="C25" s="527">
        <f>'LWVCEF-Stmt.of Act. By Class'!BA25</f>
        <v>8857.93</v>
      </c>
      <c r="D25" s="80">
        <f t="shared" si="0"/>
        <v>1142.0699999999997</v>
      </c>
      <c r="E25" s="122">
        <f t="shared" si="1"/>
        <v>0.88579300000000005</v>
      </c>
      <c r="G25" s="123"/>
      <c r="H25" s="123"/>
      <c r="I25" s="2"/>
      <c r="J25" s="2"/>
    </row>
    <row r="26" spans="1:11" x14ac:dyDescent="0.25">
      <c r="A26" s="125" t="s">
        <v>89</v>
      </c>
      <c r="B26" s="126">
        <v>6470</v>
      </c>
      <c r="C26" s="527">
        <f>'LWVCEF-Stmt.of Act. By Class'!BA26+'LWVCEF-Stmt.of Act. By Class'!BA27+'LWVCEF-Stmt.of Act. By Class'!BA28-'LWVCEF-Stmt.of Act. By Class'!BA31</f>
        <v>-1085.1799999999998</v>
      </c>
      <c r="D26" s="80">
        <f t="shared" si="0"/>
        <v>7555.18</v>
      </c>
      <c r="E26" s="122">
        <f t="shared" si="1"/>
        <v>-0.16772488408037092</v>
      </c>
      <c r="G26" s="123"/>
      <c r="H26" s="123"/>
      <c r="I26" s="2"/>
      <c r="J26" s="2"/>
    </row>
    <row r="27" spans="1:11" x14ac:dyDescent="0.25">
      <c r="A27" s="128" t="s">
        <v>336</v>
      </c>
      <c r="B27" s="129">
        <f>SUM(B22:B26)</f>
        <v>261420</v>
      </c>
      <c r="C27" s="528">
        <f>SUM(C22:C26)</f>
        <v>223959.4</v>
      </c>
      <c r="D27" s="80">
        <f t="shared" si="0"/>
        <v>37460.600000000006</v>
      </c>
      <c r="E27" s="122">
        <f t="shared" si="1"/>
        <v>0.85670338918215894</v>
      </c>
      <c r="G27" s="123"/>
      <c r="H27" s="130"/>
      <c r="I27" s="2"/>
      <c r="J27" s="2"/>
    </row>
    <row r="28" spans="1:11" x14ac:dyDescent="0.25">
      <c r="A28" s="93"/>
      <c r="B28" s="2"/>
      <c r="C28" s="2"/>
      <c r="D28" s="80"/>
      <c r="E28" s="83"/>
      <c r="G28" s="2"/>
      <c r="H28" s="2"/>
      <c r="I28" s="2"/>
      <c r="J28" s="2"/>
    </row>
    <row r="29" spans="1:11" x14ac:dyDescent="0.25">
      <c r="A29" s="131" t="s">
        <v>337</v>
      </c>
      <c r="B29" s="132">
        <v>25000</v>
      </c>
      <c r="C29" s="325">
        <f>'LWVCEF-Stmt.of Act. By Class'!BB12</f>
        <v>24150</v>
      </c>
      <c r="D29" s="80">
        <f>+B29-C29</f>
        <v>850</v>
      </c>
      <c r="E29" s="122">
        <f>+C29/B29</f>
        <v>0.96599999999999997</v>
      </c>
      <c r="G29" s="123"/>
      <c r="H29" s="123"/>
      <c r="I29" s="2"/>
      <c r="J29" s="2"/>
    </row>
    <row r="30" spans="1:11" x14ac:dyDescent="0.25">
      <c r="A30" s="131" t="s">
        <v>338</v>
      </c>
      <c r="B30" s="132">
        <v>20000</v>
      </c>
      <c r="C30" s="325">
        <f>'LWVCEF-Stmt.of Act. By Class'!BB15</f>
        <v>22299.7</v>
      </c>
      <c r="D30" s="80">
        <f>+B30-C30</f>
        <v>-2299.7000000000007</v>
      </c>
      <c r="E30" s="122">
        <f>+C30/B30</f>
        <v>1.1149850000000001</v>
      </c>
      <c r="G30" s="123"/>
      <c r="H30" s="123"/>
      <c r="I30" s="2"/>
      <c r="J30" s="2"/>
    </row>
    <row r="31" spans="1:11" x14ac:dyDescent="0.25">
      <c r="A31" s="125" t="s">
        <v>333</v>
      </c>
      <c r="B31" s="132"/>
      <c r="D31" s="80"/>
      <c r="E31" s="122"/>
      <c r="G31" s="123"/>
      <c r="H31" s="123"/>
      <c r="I31" s="2"/>
      <c r="J31" s="2"/>
    </row>
    <row r="32" spans="1:11" x14ac:dyDescent="0.25">
      <c r="A32" s="133" t="s">
        <v>339</v>
      </c>
      <c r="B32" s="132">
        <v>338750</v>
      </c>
      <c r="C32" s="325">
        <f>'LWVCEF-Stmt.of Act. By Class'!BB18</f>
        <v>78000</v>
      </c>
      <c r="D32" s="80">
        <f>+B32-C32</f>
        <v>260750</v>
      </c>
      <c r="E32" s="122">
        <f>+C32/B32</f>
        <v>0.23025830258302582</v>
      </c>
      <c r="G32" s="123"/>
      <c r="H32" s="123"/>
      <c r="I32" s="2"/>
      <c r="J32" s="2"/>
    </row>
    <row r="33" spans="1:13" x14ac:dyDescent="0.25">
      <c r="A33" s="134" t="s">
        <v>340</v>
      </c>
      <c r="B33" s="135">
        <f>SUM(B29:B32)</f>
        <v>383750</v>
      </c>
      <c r="C33" s="256">
        <f>SUM(C29:C32)</f>
        <v>124449.7</v>
      </c>
      <c r="D33" s="80">
        <f>+B33-C33</f>
        <v>259300.3</v>
      </c>
      <c r="E33" s="122">
        <f>+C33/B33</f>
        <v>0.32429889250814331</v>
      </c>
      <c r="G33" s="123"/>
      <c r="H33" s="123"/>
      <c r="I33" s="92"/>
    </row>
    <row r="34" spans="1:13" x14ac:dyDescent="0.25">
      <c r="A34" s="136"/>
      <c r="B34" s="137"/>
      <c r="C34" s="137"/>
      <c r="D34" s="80"/>
      <c r="E34" s="138"/>
      <c r="H34" s="401"/>
      <c r="I34" s="92"/>
    </row>
    <row r="35" spans="1:13" ht="15.75" thickBot="1" x14ac:dyDescent="0.3">
      <c r="A35" s="139" t="s">
        <v>341</v>
      </c>
      <c r="B35" s="140">
        <f>+B33+B27</f>
        <v>645170</v>
      </c>
      <c r="C35" s="529">
        <f>C33+C27</f>
        <v>348409.1</v>
      </c>
      <c r="D35" s="141">
        <f>+B35-C35</f>
        <v>296760.90000000002</v>
      </c>
      <c r="E35" s="142">
        <f>+C35/B35</f>
        <v>0.54002681463800239</v>
      </c>
      <c r="G35" s="123"/>
      <c r="H35" s="123"/>
      <c r="I35" s="92"/>
    </row>
    <row r="36" spans="1:13" x14ac:dyDescent="0.25">
      <c r="B36" s="462" t="s">
        <v>342</v>
      </c>
    </row>
    <row r="37" spans="1:13" x14ac:dyDescent="0.25">
      <c r="B37" s="92" t="s">
        <v>342</v>
      </c>
      <c r="C37" s="92"/>
    </row>
    <row r="39" spans="1:13" ht="15.75" thickBot="1" x14ac:dyDescent="0.3"/>
    <row r="40" spans="1:13" ht="30" x14ac:dyDescent="0.25">
      <c r="A40" s="143" t="s">
        <v>343</v>
      </c>
      <c r="B40" s="144" t="s">
        <v>56</v>
      </c>
      <c r="C40" s="144" t="s">
        <v>70</v>
      </c>
      <c r="D40" s="145" t="s">
        <v>50</v>
      </c>
      <c r="E40" s="118" t="s">
        <v>324</v>
      </c>
      <c r="G40" s="119"/>
    </row>
    <row r="41" spans="1:13" x14ac:dyDescent="0.25">
      <c r="A41" s="90" t="s">
        <v>344</v>
      </c>
      <c r="B41" s="121">
        <f>+B33</f>
        <v>383750</v>
      </c>
      <c r="C41" s="22">
        <f>C33</f>
        <v>124449.7</v>
      </c>
      <c r="D41" s="146">
        <f>+B41-C41</f>
        <v>259300.3</v>
      </c>
      <c r="E41" s="122">
        <f>+C41/B41</f>
        <v>0.32429889250814331</v>
      </c>
      <c r="G41" s="123"/>
    </row>
    <row r="42" spans="1:13" x14ac:dyDescent="0.25">
      <c r="A42" s="90" t="s">
        <v>345</v>
      </c>
      <c r="B42" s="121">
        <v>-12589</v>
      </c>
      <c r="C42" s="22">
        <v>0</v>
      </c>
      <c r="D42" s="146">
        <f>+B42-C42</f>
        <v>-12589</v>
      </c>
      <c r="E42" s="122">
        <f>+C42/B42</f>
        <v>0</v>
      </c>
      <c r="G42" s="123"/>
    </row>
    <row r="43" spans="1:13" x14ac:dyDescent="0.25">
      <c r="A43" s="90" t="s">
        <v>346</v>
      </c>
      <c r="B43" s="126">
        <f>400239+12589</f>
        <v>412828</v>
      </c>
      <c r="C43" s="33">
        <f>'FASB117 '!J29</f>
        <v>-132972.28999999998</v>
      </c>
      <c r="D43" s="146">
        <f>+B43-C43</f>
        <v>545800.29</v>
      </c>
      <c r="E43" s="122">
        <f>+C43/B43</f>
        <v>-0.32210094761014268</v>
      </c>
      <c r="G43" s="123"/>
    </row>
    <row r="44" spans="1:13" ht="15.75" thickBot="1" x14ac:dyDescent="0.3">
      <c r="A44" s="147" t="s">
        <v>15</v>
      </c>
      <c r="B44" s="148">
        <f>+B41-B42-B43</f>
        <v>-16489</v>
      </c>
      <c r="C44" s="148">
        <f>+C41-C43</f>
        <v>257421.99</v>
      </c>
      <c r="D44" s="149">
        <f>+B44-C44</f>
        <v>-273910.99</v>
      </c>
      <c r="E44" s="150"/>
      <c r="G44" s="123"/>
    </row>
    <row r="45" spans="1:13" x14ac:dyDescent="0.25">
      <c r="A45" s="90"/>
      <c r="B45" s="151"/>
      <c r="C45" s="127"/>
      <c r="D45" s="60"/>
      <c r="E45" s="123"/>
      <c r="G45" s="123"/>
    </row>
    <row r="46" spans="1:13" x14ac:dyDescent="0.25">
      <c r="A46" s="93"/>
      <c r="B46" s="152"/>
      <c r="C46" s="2"/>
      <c r="D46" s="60"/>
      <c r="E46" s="123"/>
      <c r="G46" s="123"/>
    </row>
    <row r="47" spans="1:13" x14ac:dyDescent="0.25">
      <c r="A47" s="90" t="s">
        <v>347</v>
      </c>
      <c r="B47" s="70">
        <v>190161</v>
      </c>
      <c r="C47" s="153"/>
      <c r="D47" s="60"/>
      <c r="E47" s="123"/>
      <c r="G47" s="123"/>
      <c r="M47" s="92"/>
    </row>
    <row r="48" spans="1:13" ht="15.75" thickBot="1" x14ac:dyDescent="0.3">
      <c r="A48" s="90" t="s">
        <v>348</v>
      </c>
      <c r="B48" s="71">
        <f>+B44+B47</f>
        <v>173672</v>
      </c>
      <c r="C48" s="153"/>
      <c r="D48" s="60"/>
      <c r="E48" s="123"/>
      <c r="G48" s="123"/>
      <c r="H48" s="539"/>
    </row>
    <row r="49" spans="1:10" ht="16.5" thickTop="1" thickBot="1" x14ac:dyDescent="0.3">
      <c r="A49" s="154"/>
      <c r="B49" s="155"/>
      <c r="C49" s="2"/>
      <c r="D49" s="60"/>
      <c r="E49" s="123"/>
      <c r="G49" s="123"/>
    </row>
    <row r="50" spans="1:10" x14ac:dyDescent="0.25">
      <c r="A50" s="156" t="s">
        <v>18</v>
      </c>
      <c r="B50" s="157"/>
      <c r="C50" s="2"/>
      <c r="D50" s="2"/>
      <c r="E50" s="2"/>
      <c r="G50" s="2"/>
    </row>
    <row r="51" spans="1:10" x14ac:dyDescent="0.25">
      <c r="A51" s="469" t="s">
        <v>39</v>
      </c>
      <c r="B51" s="339">
        <v>15000</v>
      </c>
      <c r="C51" s="2"/>
      <c r="D51" s="2"/>
      <c r="E51" s="2"/>
      <c r="G51" s="2"/>
      <c r="J51" s="92"/>
    </row>
    <row r="52" spans="1:10" x14ac:dyDescent="0.25">
      <c r="A52" s="93" t="s">
        <v>349</v>
      </c>
      <c r="B52" s="339">
        <v>68787</v>
      </c>
      <c r="C52" s="2"/>
      <c r="D52" s="2"/>
      <c r="E52" s="2"/>
      <c r="G52" s="2"/>
    </row>
    <row r="53" spans="1:10" x14ac:dyDescent="0.25">
      <c r="A53" s="90" t="s">
        <v>350</v>
      </c>
      <c r="B53" s="151">
        <v>12898</v>
      </c>
      <c r="C53" s="127"/>
      <c r="D53" s="2"/>
      <c r="E53" s="2"/>
      <c r="G53" s="2"/>
    </row>
    <row r="54" spans="1:10" x14ac:dyDescent="0.25">
      <c r="A54" s="90" t="s">
        <v>61</v>
      </c>
      <c r="B54" s="151">
        <v>76987</v>
      </c>
      <c r="C54" s="127"/>
      <c r="D54" s="2"/>
      <c r="E54" s="2"/>
      <c r="G54" s="2"/>
    </row>
    <row r="55" spans="1:10" ht="15.75" thickBot="1" x14ac:dyDescent="0.3">
      <c r="A55" s="158" t="s">
        <v>351</v>
      </c>
      <c r="B55" s="159">
        <f>SUM(B51:B54)</f>
        <v>173672</v>
      </c>
      <c r="C55" s="115"/>
      <c r="D55" s="60"/>
      <c r="E55" s="123"/>
      <c r="G55" s="123"/>
    </row>
    <row r="56" spans="1:10" x14ac:dyDescent="0.25">
      <c r="A56" s="114"/>
      <c r="B56" s="115"/>
      <c r="C56" s="115"/>
      <c r="D56" s="401"/>
      <c r="E56" s="160"/>
      <c r="G56" s="160"/>
    </row>
    <row r="57" spans="1:10" x14ac:dyDescent="0.25">
      <c r="A57" s="115"/>
      <c r="C57" s="401"/>
      <c r="D57" s="2"/>
      <c r="E57" s="2"/>
      <c r="G57" s="2"/>
    </row>
    <row r="58" spans="1:10" x14ac:dyDescent="0.25">
      <c r="E58" s="3"/>
      <c r="G58" s="2"/>
    </row>
    <row r="59" spans="1:10" ht="15.75" thickBot="1" x14ac:dyDescent="0.3">
      <c r="E59" s="3"/>
      <c r="G59" s="2"/>
    </row>
    <row r="60" spans="1:10" ht="30.75" thickBot="1" x14ac:dyDescent="0.3">
      <c r="A60" s="161" t="s">
        <v>352</v>
      </c>
      <c r="B60" s="162" t="s">
        <v>56</v>
      </c>
      <c r="C60" s="161" t="s">
        <v>70</v>
      </c>
      <c r="D60" s="164" t="s">
        <v>50</v>
      </c>
      <c r="E60" s="164" t="s">
        <v>324</v>
      </c>
      <c r="G60" s="119"/>
    </row>
    <row r="61" spans="1:10" x14ac:dyDescent="0.25">
      <c r="A61" s="138" t="s">
        <v>8</v>
      </c>
      <c r="B61" s="146">
        <f>+B35</f>
        <v>645170</v>
      </c>
      <c r="C61" s="530">
        <f>+C35</f>
        <v>348409.1</v>
      </c>
      <c r="D61" s="80">
        <f>+B61-C61</f>
        <v>296760.90000000002</v>
      </c>
      <c r="E61" s="122">
        <f>+C61/B61</f>
        <v>0.54002681463800239</v>
      </c>
      <c r="G61" s="123"/>
    </row>
    <row r="62" spans="1:10" x14ac:dyDescent="0.25">
      <c r="A62" s="138" t="s">
        <v>11</v>
      </c>
      <c r="B62" s="146"/>
      <c r="C62" s="80"/>
      <c r="D62" s="80">
        <f>+B62-C62</f>
        <v>0</v>
      </c>
      <c r="E62" s="122"/>
      <c r="G62" s="123"/>
    </row>
    <row r="63" spans="1:10" x14ac:dyDescent="0.25">
      <c r="A63" s="138" t="s">
        <v>168</v>
      </c>
      <c r="B63" s="146">
        <f>+L88</f>
        <v>619736</v>
      </c>
      <c r="C63" s="80">
        <f>+L96</f>
        <v>410839.55000000005</v>
      </c>
      <c r="D63" s="80">
        <f>+B63-C63</f>
        <v>208896.44999999995</v>
      </c>
      <c r="E63" s="122">
        <f>+C63/B63</f>
        <v>0.66292671395561986</v>
      </c>
      <c r="G63" s="123"/>
    </row>
    <row r="64" spans="1:10" ht="15.75" thickBot="1" x14ac:dyDescent="0.3">
      <c r="A64" s="165" t="s">
        <v>15</v>
      </c>
      <c r="B64" s="166">
        <f>+B61-B63</f>
        <v>25434</v>
      </c>
      <c r="C64" s="531">
        <f>+C61+C62-C63</f>
        <v>-62430.45000000007</v>
      </c>
      <c r="D64" s="141">
        <f>+B64-C64</f>
        <v>87864.45000000007</v>
      </c>
      <c r="E64" s="167"/>
      <c r="G64" s="2"/>
    </row>
    <row r="65" spans="1:7" x14ac:dyDescent="0.25">
      <c r="A65" s="168"/>
      <c r="B65" s="169"/>
      <c r="C65" s="79"/>
      <c r="D65" s="60"/>
      <c r="E65" s="60"/>
      <c r="F65" s="2"/>
      <c r="G65" s="2"/>
    </row>
    <row r="66" spans="1:7" x14ac:dyDescent="0.25">
      <c r="A66" s="90" t="s">
        <v>353</v>
      </c>
      <c r="B66" s="104">
        <v>237429.58000000002</v>
      </c>
      <c r="C66" s="80">
        <f>+B66</f>
        <v>237429.58000000002</v>
      </c>
      <c r="D66" s="60"/>
      <c r="E66" s="60"/>
      <c r="F66" s="2"/>
      <c r="G66" s="2"/>
    </row>
    <row r="67" spans="1:7" ht="15.75" thickBot="1" x14ac:dyDescent="0.3">
      <c r="A67" s="147" t="s">
        <v>348</v>
      </c>
      <c r="B67" s="301">
        <f>+B64+B66</f>
        <v>262863.58</v>
      </c>
      <c r="C67" s="508">
        <f>+C66+C64</f>
        <v>174999.12999999995</v>
      </c>
      <c r="D67" s="60"/>
      <c r="E67" s="60"/>
      <c r="F67" s="2"/>
      <c r="G67" s="2"/>
    </row>
    <row r="68" spans="1:7" ht="15.75" thickBot="1" x14ac:dyDescent="0.3">
      <c r="C68" s="170"/>
      <c r="D68" s="3"/>
      <c r="E68" s="3"/>
      <c r="F68" s="3"/>
      <c r="G68" s="2"/>
    </row>
    <row r="69" spans="1:7" ht="15.75" thickBot="1" x14ac:dyDescent="0.3">
      <c r="A69" s="171" t="s">
        <v>354</v>
      </c>
      <c r="B69" s="162" t="s">
        <v>56</v>
      </c>
      <c r="C69" s="161" t="s">
        <v>70</v>
      </c>
      <c r="D69" s="3"/>
      <c r="E69" s="3"/>
      <c r="F69" s="3"/>
      <c r="G69" s="2"/>
    </row>
    <row r="70" spans="1:7" x14ac:dyDescent="0.25">
      <c r="A70" s="93" t="s">
        <v>355</v>
      </c>
      <c r="B70" s="104">
        <f>+B14</f>
        <v>50146</v>
      </c>
      <c r="C70" s="337">
        <f>'LWVCEF-Stmt of Fin. Pos. by mth'!AD89</f>
        <v>8221.7999999999993</v>
      </c>
      <c r="D70" s="3"/>
      <c r="E70" s="3"/>
      <c r="F70" s="3"/>
      <c r="G70" s="2"/>
    </row>
    <row r="71" spans="1:7" x14ac:dyDescent="0.25">
      <c r="A71" s="93" t="s">
        <v>23</v>
      </c>
      <c r="B71" s="151">
        <f>+B16</f>
        <v>0</v>
      </c>
      <c r="C71" s="335">
        <f>'LWVCEF-Stmt of Fin. Pos. by mth'!AD86+'LWVCEF-Stmt of Fin. Pos. by mth'!AD102</f>
        <v>-60676.25</v>
      </c>
      <c r="D71" s="3"/>
      <c r="E71" s="3"/>
      <c r="F71" s="3"/>
      <c r="G71" s="2"/>
    </row>
    <row r="72" spans="1:7" x14ac:dyDescent="0.25">
      <c r="A72" s="93" t="s">
        <v>356</v>
      </c>
      <c r="B72" s="151">
        <f>+B15</f>
        <v>39046</v>
      </c>
      <c r="C72" s="335">
        <f>'LWVCEF-Stmt of Fin. Pos. by mth'!AD88</f>
        <v>39047.230000000003</v>
      </c>
      <c r="D72" s="3"/>
      <c r="E72" s="3"/>
      <c r="F72" s="3"/>
      <c r="G72" s="2"/>
    </row>
    <row r="73" spans="1:7" x14ac:dyDescent="0.25">
      <c r="A73" s="93" t="s">
        <v>39</v>
      </c>
      <c r="B73" s="151">
        <v>15000</v>
      </c>
      <c r="C73" s="335"/>
      <c r="D73" s="3"/>
      <c r="E73" s="3"/>
      <c r="F73" s="3"/>
      <c r="G73" s="2"/>
    </row>
    <row r="74" spans="1:7" x14ac:dyDescent="0.25">
      <c r="A74" s="93" t="s">
        <v>61</v>
      </c>
      <c r="B74" s="339">
        <f>+B54</f>
        <v>76987</v>
      </c>
      <c r="C74" s="335">
        <f>'LWVCEF-Stmt of Fin. Pos. by mth'!AD92</f>
        <v>91290.99</v>
      </c>
      <c r="D74" s="3"/>
      <c r="E74" s="3"/>
      <c r="F74" s="3"/>
      <c r="G74" s="2"/>
    </row>
    <row r="75" spans="1:7" x14ac:dyDescent="0.25">
      <c r="A75" s="93" t="s">
        <v>349</v>
      </c>
      <c r="B75" s="339">
        <f>+B52</f>
        <v>68787</v>
      </c>
      <c r="C75" s="335">
        <f>'LWVCEF-Stmt of Fin. Pos. by mth'!AD94</f>
        <v>97115.36</v>
      </c>
      <c r="D75" s="3"/>
      <c r="E75" s="3"/>
      <c r="F75" s="3"/>
      <c r="G75" s="2"/>
    </row>
    <row r="76" spans="1:7" x14ac:dyDescent="0.25">
      <c r="A76" s="93" t="s">
        <v>350</v>
      </c>
      <c r="B76" s="151">
        <v>12898</v>
      </c>
      <c r="C76" s="335">
        <v>0</v>
      </c>
      <c r="D76" s="3"/>
      <c r="E76" s="3"/>
      <c r="F76" s="3"/>
      <c r="G76" s="2"/>
    </row>
    <row r="77" spans="1:7" ht="15.75" thickBot="1" x14ac:dyDescent="0.3">
      <c r="A77" s="154" t="s">
        <v>341</v>
      </c>
      <c r="B77" s="300">
        <f>SUM(B70:B76)</f>
        <v>262864</v>
      </c>
      <c r="C77" s="336">
        <f>SUM(C70:C76)</f>
        <v>174999.13</v>
      </c>
      <c r="D77" s="3"/>
      <c r="E77" s="3"/>
      <c r="F77" s="3"/>
      <c r="G77" s="2"/>
    </row>
    <row r="81" spans="1:15" ht="15.75" thickBot="1" x14ac:dyDescent="0.3">
      <c r="A81" s="173" t="s">
        <v>519</v>
      </c>
      <c r="B81" s="174"/>
      <c r="C81" s="174"/>
      <c r="D81" s="174"/>
      <c r="E81" s="174"/>
      <c r="F81" s="174"/>
      <c r="G81" s="115"/>
      <c r="K81" s="170"/>
      <c r="L81" s="3"/>
    </row>
    <row r="82" spans="1:15" ht="15.75" thickBot="1" x14ac:dyDescent="0.3">
      <c r="A82" s="175" t="s">
        <v>93</v>
      </c>
      <c r="B82" s="612" t="s">
        <v>94</v>
      </c>
      <c r="C82" s="612"/>
      <c r="D82" s="612"/>
      <c r="E82" s="568"/>
      <c r="F82" s="547"/>
      <c r="G82" s="176"/>
      <c r="H82" s="295" t="s">
        <v>95</v>
      </c>
      <c r="I82" s="177"/>
      <c r="J82" s="177"/>
      <c r="K82" s="177"/>
      <c r="L82" s="178"/>
    </row>
    <row r="83" spans="1:15" ht="30" x14ac:dyDescent="0.25">
      <c r="A83" s="90"/>
      <c r="B83" s="179" t="s">
        <v>96</v>
      </c>
      <c r="C83" s="179" t="s">
        <v>97</v>
      </c>
      <c r="D83" s="217" t="s">
        <v>98</v>
      </c>
      <c r="E83" s="160"/>
      <c r="F83" s="180" t="s">
        <v>99</v>
      </c>
      <c r="G83" s="181"/>
      <c r="H83" s="296" t="s">
        <v>357</v>
      </c>
      <c r="I83" s="182" t="s">
        <v>358</v>
      </c>
      <c r="J83" s="182" t="s">
        <v>359</v>
      </c>
      <c r="K83" s="180" t="s">
        <v>104</v>
      </c>
      <c r="L83" s="183" t="s">
        <v>105</v>
      </c>
    </row>
    <row r="84" spans="1:15" x14ac:dyDescent="0.25">
      <c r="A84" s="184" t="s">
        <v>106</v>
      </c>
      <c r="B84" s="185">
        <v>8022</v>
      </c>
      <c r="C84" s="185">
        <v>20131</v>
      </c>
      <c r="D84" s="292">
        <v>75687</v>
      </c>
      <c r="E84" s="292"/>
      <c r="F84" s="186">
        <f>SUM(B84:D84)</f>
        <v>103840</v>
      </c>
      <c r="G84" s="187"/>
      <c r="H84" s="297">
        <v>42560</v>
      </c>
      <c r="I84" s="185">
        <v>100599</v>
      </c>
      <c r="J84" s="185">
        <v>45449</v>
      </c>
      <c r="K84" s="186">
        <f>SUM(H84:J84)</f>
        <v>188608</v>
      </c>
      <c r="L84" s="188">
        <f>+K84+F84</f>
        <v>292448</v>
      </c>
    </row>
    <row r="85" spans="1:15" x14ac:dyDescent="0.25">
      <c r="A85" s="184" t="s">
        <v>107</v>
      </c>
      <c r="B85" s="189">
        <v>15005</v>
      </c>
      <c r="C85" s="185">
        <v>43</v>
      </c>
      <c r="D85" s="293">
        <v>553</v>
      </c>
      <c r="E85" s="293"/>
      <c r="F85" s="186">
        <f>SUM(B85:D85)</f>
        <v>15601</v>
      </c>
      <c r="G85" s="187"/>
      <c r="H85" s="297">
        <v>18036</v>
      </c>
      <c r="I85" s="185">
        <v>1577</v>
      </c>
      <c r="J85" s="189">
        <v>543</v>
      </c>
      <c r="K85" s="190">
        <f>SUM(H85:J85)</f>
        <v>20156</v>
      </c>
      <c r="L85" s="188">
        <f>+K85+F85</f>
        <v>35757</v>
      </c>
    </row>
    <row r="86" spans="1:15" x14ac:dyDescent="0.25">
      <c r="A86" s="184" t="s">
        <v>108</v>
      </c>
      <c r="B86" s="189">
        <v>378</v>
      </c>
      <c r="C86" s="189">
        <v>21838</v>
      </c>
      <c r="D86" s="293">
        <v>29037</v>
      </c>
      <c r="E86" s="293"/>
      <c r="F86" s="186">
        <f>SUM(B86:D86)</f>
        <v>51253</v>
      </c>
      <c r="G86" s="187"/>
      <c r="H86" s="298">
        <v>52275</v>
      </c>
      <c r="I86" s="189">
        <v>34427</v>
      </c>
      <c r="J86" s="189">
        <v>31905</v>
      </c>
      <c r="K86" s="190">
        <f>SUM(H86:J86)</f>
        <v>118607</v>
      </c>
      <c r="L86" s="188">
        <f>+K86+F86</f>
        <v>169860</v>
      </c>
    </row>
    <row r="87" spans="1:15" x14ac:dyDescent="0.25">
      <c r="A87" s="184" t="s">
        <v>109</v>
      </c>
      <c r="B87" s="191">
        <f>+B88-B84-B85-B86</f>
        <v>2185</v>
      </c>
      <c r="C87" s="191">
        <f>+C88-C86-C85-C84</f>
        <v>6337</v>
      </c>
      <c r="D87" s="294">
        <f>+D88-D86-D85-D84</f>
        <v>13681</v>
      </c>
      <c r="E87" s="294"/>
      <c r="F87" s="192">
        <f>SUM(B87:D87)</f>
        <v>22203</v>
      </c>
      <c r="G87" s="187"/>
      <c r="H87" s="298">
        <f>+H88-H86-H85-H84</f>
        <v>13797</v>
      </c>
      <c r="I87" s="189">
        <f>+I88-I86-I84-I85</f>
        <v>51466</v>
      </c>
      <c r="J87" s="189">
        <f>+J88-J86-J85-J84</f>
        <v>34205</v>
      </c>
      <c r="K87" s="190">
        <f>SUM(H87:J87)</f>
        <v>99468</v>
      </c>
      <c r="L87" s="188">
        <f>+K87+F87</f>
        <v>121671</v>
      </c>
    </row>
    <row r="88" spans="1:15" ht="15.75" thickBot="1" x14ac:dyDescent="0.3">
      <c r="A88" s="193" t="s">
        <v>110</v>
      </c>
      <c r="B88" s="194">
        <v>25590</v>
      </c>
      <c r="C88" s="195">
        <v>48349</v>
      </c>
      <c r="D88" s="195">
        <v>118958</v>
      </c>
      <c r="E88" s="195"/>
      <c r="F88" s="195">
        <f>SUM(B88:D88)</f>
        <v>192897</v>
      </c>
      <c r="G88" s="196"/>
      <c r="H88" s="299">
        <v>126668</v>
      </c>
      <c r="I88" s="194">
        <v>188069</v>
      </c>
      <c r="J88" s="194">
        <v>112102</v>
      </c>
      <c r="K88" s="195">
        <f>SUM(K84:K87)</f>
        <v>426839</v>
      </c>
      <c r="L88" s="216">
        <f>+K88+F88</f>
        <v>619736</v>
      </c>
    </row>
    <row r="89" spans="1:15" ht="15.75" thickBot="1" x14ac:dyDescent="0.3">
      <c r="G89" s="197"/>
    </row>
    <row r="90" spans="1:15" x14ac:dyDescent="0.25">
      <c r="A90" s="198" t="s">
        <v>510</v>
      </c>
      <c r="B90" s="613" t="s">
        <v>94</v>
      </c>
      <c r="C90" s="613"/>
      <c r="D90" s="613"/>
      <c r="E90" s="569"/>
      <c r="F90" s="548"/>
      <c r="G90" s="176"/>
      <c r="H90" s="199" t="s">
        <v>95</v>
      </c>
      <c r="I90" s="199"/>
      <c r="J90" s="199"/>
      <c r="K90" s="199"/>
      <c r="L90" s="200"/>
    </row>
    <row r="91" spans="1:15" ht="30" x14ac:dyDescent="0.25">
      <c r="A91" s="201"/>
      <c r="B91" s="202" t="s">
        <v>96</v>
      </c>
      <c r="C91" s="202" t="s">
        <v>97</v>
      </c>
      <c r="D91" s="202" t="s">
        <v>98</v>
      </c>
      <c r="E91" s="202" t="s">
        <v>505</v>
      </c>
      <c r="F91" s="203" t="s">
        <v>99</v>
      </c>
      <c r="G91" s="181"/>
      <c r="H91" s="204" t="s">
        <v>357</v>
      </c>
      <c r="I91" s="204" t="s">
        <v>358</v>
      </c>
      <c r="J91" s="204" t="s">
        <v>359</v>
      </c>
      <c r="K91" s="203" t="s">
        <v>104</v>
      </c>
      <c r="L91" s="205" t="s">
        <v>105</v>
      </c>
    </row>
    <row r="92" spans="1:15" x14ac:dyDescent="0.25">
      <c r="A92" s="206" t="s">
        <v>106</v>
      </c>
      <c r="B92" s="326">
        <f>'LWVCEF-Stmt.of Act. By Class'!G36</f>
        <v>5149.3100000000004</v>
      </c>
      <c r="C92" s="326">
        <f>'LWVCEF-Stmt.of Act. By Class'!I36</f>
        <v>18243.63</v>
      </c>
      <c r="D92" s="326">
        <f>'LWVCEF-Stmt.of Act. By Class'!M36</f>
        <v>54864.73</v>
      </c>
      <c r="E92" s="326">
        <f>'LWVCEF-Stmt.of Act. By Class'!AU36</f>
        <v>34976.839999999997</v>
      </c>
      <c r="F92" s="207">
        <f>SUM(B92:E92)</f>
        <v>113234.51000000001</v>
      </c>
      <c r="G92" s="187"/>
      <c r="H92" s="326">
        <f>'LWVCEF-Stmt.of Act. By Class'!Y36</f>
        <v>28636.41</v>
      </c>
      <c r="I92" s="326">
        <f>'LWVCEF-Stmt.of Act. By Class'!AG36+'LWVCEF-Stmt.of Act. By Class'!AI36+'LWVCEF-Stmt.of Act. By Class'!AQ36</f>
        <v>75510.67</v>
      </c>
      <c r="J92" s="326">
        <f>'LWVCEF-Stmt.of Act. By Class'!AC36</f>
        <v>32909.519999999997</v>
      </c>
      <c r="K92" s="207">
        <f>SUM(H92:J92)</f>
        <v>137056.6</v>
      </c>
      <c r="L92" s="208">
        <f>+K92+F92</f>
        <v>250291.11000000002</v>
      </c>
    </row>
    <row r="93" spans="1:15" x14ac:dyDescent="0.25">
      <c r="A93" s="206" t="s">
        <v>107</v>
      </c>
      <c r="B93" s="327">
        <f>'LWVCEF-Stmt.of Act. By Class'!G46</f>
        <v>7831.91</v>
      </c>
      <c r="C93" s="326">
        <f>'LWVCEF-Stmt.of Act. By Class'!I46</f>
        <v>298.63</v>
      </c>
      <c r="D93" s="326">
        <f>'LWVCEF-Stmt.of Act. By Class'!M46</f>
        <v>1195.0899999999999</v>
      </c>
      <c r="E93" s="326">
        <f>'LWVCEF-Stmt.of Act. By Class'!AU46</f>
        <v>0</v>
      </c>
      <c r="F93" s="207">
        <f>SUM(B93:E93)</f>
        <v>9325.6299999999992</v>
      </c>
      <c r="G93" s="187"/>
      <c r="H93" s="326">
        <f>'LWVCEF-Stmt.of Act. By Class'!Y46</f>
        <v>1549.32</v>
      </c>
      <c r="I93" s="326">
        <f>'LWVCEF-Stmt.of Act. By Class'!AG46+'LWVCEF-Stmt.of Act. By Class'!AI46+'LWVCEF-Stmt.of Act. By Class'!AQ46</f>
        <v>2140.3000000000002</v>
      </c>
      <c r="J93" s="327">
        <f>'LWVCEF-Stmt.of Act. By Class'!AC46</f>
        <v>1.44</v>
      </c>
      <c r="K93" s="209">
        <f>SUM(H93:J93)</f>
        <v>3691.06</v>
      </c>
      <c r="L93" s="208">
        <f>+K93+F93</f>
        <v>13016.689999999999</v>
      </c>
    </row>
    <row r="94" spans="1:15" x14ac:dyDescent="0.25">
      <c r="A94" s="206" t="s">
        <v>108</v>
      </c>
      <c r="B94" s="327">
        <f>'LWVCEF-Stmt.of Act. By Class'!G37+'LWVCEF-Stmt.of Act. By Class'!G48+'LWVCEF-Stmt.of Act. By Class'!G49</f>
        <v>1772.1999999999998</v>
      </c>
      <c r="C94" s="327">
        <f>'LWVCEF-Stmt.of Act. By Class'!I37+'LWVCEF-Stmt.of Act. By Class'!I48+'LWVCEF-Stmt.of Act. By Class'!I49</f>
        <v>25408.38</v>
      </c>
      <c r="D94" s="327">
        <f>'LWVCEF-Stmt.of Act. By Class'!M37+'LWVCEF-Stmt.of Act. By Class'!M48+'LWVCEF-Stmt.of Act. By Class'!M49</f>
        <v>15497.18</v>
      </c>
      <c r="E94" s="327">
        <f>'LWVCEF-Stmt.of Act. By Class'!AU37+'LWVCEF-Stmt.of Act. By Class'!AU48+'LWVCEF-Stmt.of Act. By Class'!AU49</f>
        <v>0</v>
      </c>
      <c r="F94" s="207">
        <f>SUM(B94:E94)</f>
        <v>42677.760000000002</v>
      </c>
      <c r="G94" s="187"/>
      <c r="H94" s="327">
        <f>'LWVCEF-Stmt.of Act. By Class'!Y37+'LWVCEF-Stmt.of Act. By Class'!Y48+'LWVCEF-Stmt.of Act. By Class'!Y49</f>
        <v>38946.409999999996</v>
      </c>
      <c r="I94" s="327">
        <f>'LWVCEF-Stmt.of Act. By Class'!AG37+'LWVCEF-Stmt.of Act. By Class'!AG48+'LWVCEF-Stmt.of Act. By Class'!AG49+'LWVCEF-Stmt.of Act. By Class'!AI37+'LWVCEF-Stmt.of Act. By Class'!AI48+'LWVCEF-Stmt.of Act. By Class'!AI49+'LWVCEF-Stmt.of Act. By Class'!AQ37+'LWVCEF-Stmt.of Act. By Class'!AQ48+'LWVCEF-Stmt.of Act. By Class'!AQ49</f>
        <v>16229.279999999999</v>
      </c>
      <c r="J94" s="327">
        <f>'LWVCEF-Stmt.of Act. By Class'!AC37+'LWVCEF-Stmt.of Act. By Class'!AC48+'LWVCEF-Stmt.of Act. By Class'!AC49</f>
        <v>5948.9</v>
      </c>
      <c r="K94" s="209">
        <f>SUM(H94:J94)</f>
        <v>61124.59</v>
      </c>
      <c r="L94" s="208">
        <f>+K94+F94</f>
        <v>103802.35</v>
      </c>
      <c r="O94" s="509"/>
    </row>
    <row r="95" spans="1:15" x14ac:dyDescent="0.25">
      <c r="A95" s="206" t="s">
        <v>109</v>
      </c>
      <c r="B95" s="327">
        <f>+B96-B92-B93-B94</f>
        <v>2499.37</v>
      </c>
      <c r="C95" s="327">
        <f>+C96-C92-C93-C94</f>
        <v>4326.369999999999</v>
      </c>
      <c r="D95" s="327">
        <f>+D96-D92-D93-D94</f>
        <v>13896.070000000003</v>
      </c>
      <c r="E95" s="327">
        <f>+E96-E92-E93-E94</f>
        <v>2444.4900000000052</v>
      </c>
      <c r="F95" s="207">
        <f>SUM(B95:E95)</f>
        <v>23166.300000000007</v>
      </c>
      <c r="G95" s="187"/>
      <c r="H95" s="327">
        <f>+H96-H92-H93-H94</f>
        <v>4247.9799999999959</v>
      </c>
      <c r="I95" s="327">
        <f>+I96-I94-I93-I92</f>
        <v>11742.39</v>
      </c>
      <c r="J95" s="327">
        <f>+J96-J92-J93-J94</f>
        <v>4572.7299999999996</v>
      </c>
      <c r="K95" s="209">
        <f>SUM(H95:J95)</f>
        <v>20563.099999999995</v>
      </c>
      <c r="L95" s="208">
        <f>+K95+F95</f>
        <v>43729.4</v>
      </c>
      <c r="O95" s="509"/>
    </row>
    <row r="96" spans="1:15" ht="15.75" thickBot="1" x14ac:dyDescent="0.3">
      <c r="A96" s="210" t="s">
        <v>111</v>
      </c>
      <c r="B96" s="211">
        <f>'LWVCEF-Stmt.of Act. By Class'!G50</f>
        <v>17252.79</v>
      </c>
      <c r="C96" s="212">
        <f>'LWVCEF-Stmt.of Act. By Class'!I50</f>
        <v>48277.01</v>
      </c>
      <c r="D96" s="212">
        <f>'LWVCEF-Stmt.of Act. By Class'!M50</f>
        <v>85453.07</v>
      </c>
      <c r="E96" s="212">
        <f>'LWVCEF-Stmt.of Act. By Class'!AU50</f>
        <v>37421.33</v>
      </c>
      <c r="F96" s="211">
        <f>SUM(B96:E96)</f>
        <v>188404.2</v>
      </c>
      <c r="G96" s="196" t="s">
        <v>360</v>
      </c>
      <c r="H96" s="211">
        <f>'LWVCEF-Stmt.of Act. By Class'!Y50</f>
        <v>73380.12</v>
      </c>
      <c r="I96" s="211">
        <f>'LWVCEF-Stmt.of Act. By Class'!AG50+'LWVCEF-Stmt.of Act. By Class'!AI50+'LWVCEF-Stmt.of Act. By Class'!AQ50</f>
        <v>105622.64</v>
      </c>
      <c r="J96" s="211">
        <f>'LWVCEF-Stmt.of Act. By Class'!AC50</f>
        <v>43432.59</v>
      </c>
      <c r="K96" s="212">
        <f>SUM(H96:J96)</f>
        <v>222435.35</v>
      </c>
      <c r="L96" s="213">
        <f>+K96+F96</f>
        <v>410839.55000000005</v>
      </c>
      <c r="N96" s="92"/>
      <c r="O96" s="509"/>
    </row>
    <row r="97" spans="1:14" ht="15.75" thickBot="1" x14ac:dyDescent="0.3">
      <c r="G97" s="197"/>
      <c r="M97" s="92"/>
    </row>
    <row r="98" spans="1:14" x14ac:dyDescent="0.25">
      <c r="A98" s="214" t="s">
        <v>520</v>
      </c>
      <c r="B98" s="612" t="s">
        <v>94</v>
      </c>
      <c r="C98" s="612"/>
      <c r="D98" s="612"/>
      <c r="E98" s="568"/>
      <c r="F98" s="547"/>
      <c r="G98" s="176"/>
      <c r="H98" s="177" t="s">
        <v>95</v>
      </c>
      <c r="I98" s="177"/>
      <c r="J98" s="177"/>
      <c r="K98" s="177"/>
      <c r="L98" s="178"/>
    </row>
    <row r="99" spans="1:14" ht="30" x14ac:dyDescent="0.25">
      <c r="A99" s="90"/>
      <c r="B99" s="179" t="s">
        <v>96</v>
      </c>
      <c r="C99" s="179" t="s">
        <v>97</v>
      </c>
      <c r="D99" s="179" t="s">
        <v>98</v>
      </c>
      <c r="E99" s="179"/>
      <c r="F99" s="180" t="s">
        <v>99</v>
      </c>
      <c r="G99" s="181"/>
      <c r="H99" s="182" t="s">
        <v>357</v>
      </c>
      <c r="I99" s="182" t="s">
        <v>358</v>
      </c>
      <c r="J99" s="182" t="s">
        <v>359</v>
      </c>
      <c r="K99" s="180" t="s">
        <v>104</v>
      </c>
      <c r="L99" s="183" t="s">
        <v>105</v>
      </c>
    </row>
    <row r="100" spans="1:14" x14ac:dyDescent="0.25">
      <c r="A100" s="184" t="s">
        <v>106</v>
      </c>
      <c r="B100" s="185">
        <f>+B84-B92</f>
        <v>2872.6899999999996</v>
      </c>
      <c r="C100" s="185">
        <f t="shared" ref="C100:L100" si="2">+C84-C92</f>
        <v>1887.369999999999</v>
      </c>
      <c r="D100" s="185">
        <f t="shared" si="2"/>
        <v>20822.269999999997</v>
      </c>
      <c r="E100" s="185">
        <f>+E84-E92</f>
        <v>-34976.839999999997</v>
      </c>
      <c r="F100" s="186">
        <f>SUM(B100:E100)</f>
        <v>-9394.510000000002</v>
      </c>
      <c r="G100" s="187"/>
      <c r="H100" s="185">
        <f t="shared" si="2"/>
        <v>13923.59</v>
      </c>
      <c r="I100" s="185">
        <f t="shared" si="2"/>
        <v>25088.33</v>
      </c>
      <c r="J100" s="185">
        <f t="shared" si="2"/>
        <v>12539.480000000003</v>
      </c>
      <c r="K100" s="186">
        <f t="shared" si="2"/>
        <v>51551.399999999994</v>
      </c>
      <c r="L100" s="215">
        <f t="shared" si="2"/>
        <v>42156.889999999985</v>
      </c>
    </row>
    <row r="101" spans="1:14" x14ac:dyDescent="0.25">
      <c r="A101" s="184" t="s">
        <v>107</v>
      </c>
      <c r="B101" s="185">
        <f t="shared" ref="B101:L104" si="3">+B85-B93</f>
        <v>7173.09</v>
      </c>
      <c r="C101" s="185">
        <f t="shared" si="3"/>
        <v>-255.63</v>
      </c>
      <c r="D101" s="185">
        <f t="shared" si="3"/>
        <v>-642.08999999999992</v>
      </c>
      <c r="E101" s="185">
        <f>+E85-E93</f>
        <v>0</v>
      </c>
      <c r="F101" s="186">
        <f>SUM(B101:E101)</f>
        <v>6275.37</v>
      </c>
      <c r="G101" s="187"/>
      <c r="H101" s="185">
        <f t="shared" si="3"/>
        <v>16486.68</v>
      </c>
      <c r="I101" s="185">
        <f t="shared" si="3"/>
        <v>-563.30000000000018</v>
      </c>
      <c r="J101" s="185">
        <f t="shared" si="3"/>
        <v>541.55999999999995</v>
      </c>
      <c r="K101" s="186">
        <f t="shared" si="3"/>
        <v>16464.939999999999</v>
      </c>
      <c r="L101" s="215">
        <f t="shared" si="3"/>
        <v>22740.31</v>
      </c>
    </row>
    <row r="102" spans="1:14" x14ac:dyDescent="0.25">
      <c r="A102" s="184" t="s">
        <v>108</v>
      </c>
      <c r="B102" s="185">
        <f t="shared" si="3"/>
        <v>-1394.1999999999998</v>
      </c>
      <c r="C102" s="185">
        <f t="shared" si="3"/>
        <v>-3570.380000000001</v>
      </c>
      <c r="D102" s="185">
        <f t="shared" si="3"/>
        <v>13539.82</v>
      </c>
      <c r="E102" s="185">
        <f>+E86-E94</f>
        <v>0</v>
      </c>
      <c r="F102" s="186">
        <f>SUM(B102:E102)</f>
        <v>8575.239999999998</v>
      </c>
      <c r="G102" s="187"/>
      <c r="H102" s="185">
        <f t="shared" si="3"/>
        <v>13328.590000000004</v>
      </c>
      <c r="I102" s="185">
        <f t="shared" si="3"/>
        <v>18197.72</v>
      </c>
      <c r="J102" s="185">
        <f t="shared" si="3"/>
        <v>25956.1</v>
      </c>
      <c r="K102" s="186">
        <f t="shared" si="3"/>
        <v>57482.41</v>
      </c>
      <c r="L102" s="215">
        <f t="shared" si="3"/>
        <v>66057.649999999994</v>
      </c>
    </row>
    <row r="103" spans="1:14" x14ac:dyDescent="0.25">
      <c r="A103" s="184" t="s">
        <v>109</v>
      </c>
      <c r="B103" s="185">
        <f t="shared" si="3"/>
        <v>-314.36999999999989</v>
      </c>
      <c r="C103" s="185">
        <f t="shared" si="3"/>
        <v>2010.630000000001</v>
      </c>
      <c r="D103" s="185">
        <f t="shared" si="3"/>
        <v>-215.07000000000335</v>
      </c>
      <c r="E103" s="185">
        <f>+E87-E95</f>
        <v>-2444.4900000000052</v>
      </c>
      <c r="F103" s="186">
        <f>SUM(B103:E103)</f>
        <v>-963.30000000000746</v>
      </c>
      <c r="G103" s="187"/>
      <c r="H103" s="185">
        <f t="shared" si="3"/>
        <v>9549.0200000000041</v>
      </c>
      <c r="I103" s="185">
        <f t="shared" si="3"/>
        <v>39723.61</v>
      </c>
      <c r="J103" s="185">
        <f t="shared" si="3"/>
        <v>29632.27</v>
      </c>
      <c r="K103" s="186">
        <f t="shared" si="3"/>
        <v>78904.900000000009</v>
      </c>
      <c r="L103" s="215">
        <f t="shared" si="3"/>
        <v>77941.600000000006</v>
      </c>
    </row>
    <row r="104" spans="1:14" ht="15.75" thickBot="1" x14ac:dyDescent="0.3">
      <c r="A104" s="193" t="s">
        <v>361</v>
      </c>
      <c r="B104" s="194">
        <f>+B88-B96</f>
        <v>8337.2099999999991</v>
      </c>
      <c r="C104" s="194">
        <f t="shared" si="3"/>
        <v>71.989999999997963</v>
      </c>
      <c r="D104" s="194">
        <f t="shared" si="3"/>
        <v>33504.929999999993</v>
      </c>
      <c r="E104" s="194">
        <f>+E88-E96</f>
        <v>-37421.33</v>
      </c>
      <c r="F104" s="194">
        <f>SUM(B104:E104)</f>
        <v>4492.7999999999884</v>
      </c>
      <c r="G104" s="196"/>
      <c r="H104" s="194">
        <f t="shared" si="3"/>
        <v>53287.880000000005</v>
      </c>
      <c r="I104" s="194">
        <f t="shared" si="3"/>
        <v>82446.36</v>
      </c>
      <c r="J104" s="194">
        <f t="shared" si="3"/>
        <v>68669.41</v>
      </c>
      <c r="K104" s="194">
        <f>+K88-K96</f>
        <v>204403.65</v>
      </c>
      <c r="L104" s="216">
        <f>+L88-L96</f>
        <v>208896.44999999995</v>
      </c>
    </row>
    <row r="105" spans="1:14" ht="15.75" thickBot="1" x14ac:dyDescent="0.3">
      <c r="G105" s="197"/>
    </row>
    <row r="106" spans="1:14" x14ac:dyDescent="0.25">
      <c r="A106" s="214" t="s">
        <v>512</v>
      </c>
      <c r="B106" s="612" t="s">
        <v>94</v>
      </c>
      <c r="C106" s="612"/>
      <c r="D106" s="612"/>
      <c r="E106" s="568"/>
      <c r="F106" s="217"/>
      <c r="G106" s="176"/>
      <c r="H106" s="177" t="s">
        <v>95</v>
      </c>
      <c r="I106" s="177"/>
      <c r="J106" s="177"/>
      <c r="K106" s="177"/>
      <c r="L106" s="218"/>
    </row>
    <row r="107" spans="1:14" ht="30" x14ac:dyDescent="0.25">
      <c r="A107" s="90"/>
      <c r="B107" s="179" t="s">
        <v>96</v>
      </c>
      <c r="C107" s="179" t="s">
        <v>97</v>
      </c>
      <c r="D107" s="179" t="s">
        <v>98</v>
      </c>
      <c r="E107" s="179"/>
      <c r="F107" s="180" t="s">
        <v>99</v>
      </c>
      <c r="G107" s="181"/>
      <c r="H107" s="182" t="s">
        <v>357</v>
      </c>
      <c r="I107" s="182" t="s">
        <v>358</v>
      </c>
      <c r="J107" s="182" t="s">
        <v>359</v>
      </c>
      <c r="K107" s="180" t="s">
        <v>104</v>
      </c>
      <c r="L107" s="183" t="s">
        <v>105</v>
      </c>
    </row>
    <row r="108" spans="1:14" x14ac:dyDescent="0.25">
      <c r="A108" s="184" t="s">
        <v>106</v>
      </c>
      <c r="B108" s="219">
        <f>+B92/B84</f>
        <v>0.6418985290451259</v>
      </c>
      <c r="C108" s="219">
        <f>+C92/C84</f>
        <v>0.90624559137648408</v>
      </c>
      <c r="D108" s="219">
        <f>+D92/D84</f>
        <v>0.72488974328484423</v>
      </c>
      <c r="E108" s="219"/>
      <c r="F108" s="220">
        <f>+F92/F84</f>
        <v>1.0904710130970725</v>
      </c>
      <c r="G108" s="221"/>
      <c r="H108" s="220">
        <f>+H92/H84</f>
        <v>0.67284797932330831</v>
      </c>
      <c r="I108" s="220">
        <f>+I92/I84</f>
        <v>0.75061054284833839</v>
      </c>
      <c r="J108" s="220">
        <f>+J92/J84</f>
        <v>0.72409777992915125</v>
      </c>
      <c r="K108" s="220">
        <f>+K92/K84</f>
        <v>0.72667437224295894</v>
      </c>
      <c r="L108" s="222">
        <f>+L92/L84</f>
        <v>0.85584825336470083</v>
      </c>
      <c r="N108" s="219"/>
    </row>
    <row r="109" spans="1:14" x14ac:dyDescent="0.25">
      <c r="A109" s="184" t="s">
        <v>107</v>
      </c>
      <c r="B109" s="219">
        <f t="shared" ref="B109:L112" si="4">+B93/B85</f>
        <v>0.52195334888370537</v>
      </c>
      <c r="C109" s="219">
        <f t="shared" si="4"/>
        <v>6.9448837209302328</v>
      </c>
      <c r="D109" s="219">
        <f t="shared" si="4"/>
        <v>2.1611030741410486</v>
      </c>
      <c r="E109" s="219"/>
      <c r="F109" s="220">
        <f>+F93/F85</f>
        <v>0.59775847702070373</v>
      </c>
      <c r="G109" s="221"/>
      <c r="H109" s="219" t="s">
        <v>362</v>
      </c>
      <c r="I109" s="219">
        <f t="shared" si="4"/>
        <v>1.3571972098922005</v>
      </c>
      <c r="J109" s="219">
        <f>+J93/J85</f>
        <v>2.6519337016574587E-3</v>
      </c>
      <c r="K109" s="220">
        <f t="shared" si="4"/>
        <v>0.18312462790236159</v>
      </c>
      <c r="L109" s="222">
        <f t="shared" si="4"/>
        <v>0.36403193780238829</v>
      </c>
    </row>
    <row r="110" spans="1:14" x14ac:dyDescent="0.25">
      <c r="A110" s="184" t="s">
        <v>108</v>
      </c>
      <c r="B110" s="219">
        <f t="shared" si="4"/>
        <v>4.6883597883597883</v>
      </c>
      <c r="C110" s="219">
        <f t="shared" si="4"/>
        <v>1.1634939096986905</v>
      </c>
      <c r="D110" s="219">
        <f t="shared" si="4"/>
        <v>0.53370458380686714</v>
      </c>
      <c r="E110" s="219"/>
      <c r="F110" s="220">
        <f>+F94/F86</f>
        <v>0.83268803777339861</v>
      </c>
      <c r="G110" s="221"/>
      <c r="H110" s="219">
        <f t="shared" si="4"/>
        <v>0.74502936394069819</v>
      </c>
      <c r="I110" s="219">
        <f t="shared" si="4"/>
        <v>0.47141139222122169</v>
      </c>
      <c r="J110" s="219">
        <f>+J94/J86</f>
        <v>0.18645666823381915</v>
      </c>
      <c r="K110" s="220">
        <f t="shared" si="4"/>
        <v>0.51535398416619593</v>
      </c>
      <c r="L110" s="222">
        <f t="shared" si="4"/>
        <v>0.61110532202990697</v>
      </c>
    </row>
    <row r="111" spans="1:14" x14ac:dyDescent="0.25">
      <c r="A111" s="184" t="s">
        <v>109</v>
      </c>
      <c r="B111" s="220">
        <f t="shared" si="4"/>
        <v>1.1438764302059496</v>
      </c>
      <c r="C111" s="220">
        <f t="shared" si="4"/>
        <v>0.68271579611803679</v>
      </c>
      <c r="D111" s="220">
        <f t="shared" si="4"/>
        <v>1.0157203420802576</v>
      </c>
      <c r="E111" s="220"/>
      <c r="F111" s="220">
        <f>+F95/F87</f>
        <v>1.0433860289150119</v>
      </c>
      <c r="G111" s="221"/>
      <c r="H111" s="220">
        <f t="shared" si="4"/>
        <v>0.30789157063129635</v>
      </c>
      <c r="I111" s="220">
        <f t="shared" si="4"/>
        <v>0.22815820153110791</v>
      </c>
      <c r="J111" s="220">
        <f>+J95/J87</f>
        <v>0.13368601081713199</v>
      </c>
      <c r="K111" s="220">
        <f t="shared" si="4"/>
        <v>0.2067308078980174</v>
      </c>
      <c r="L111" s="222">
        <f t="shared" si="4"/>
        <v>0.35940692523279993</v>
      </c>
    </row>
    <row r="112" spans="1:14" ht="15.75" thickBot="1" x14ac:dyDescent="0.3">
      <c r="A112" s="193" t="s">
        <v>363</v>
      </c>
      <c r="B112" s="223">
        <f t="shared" si="4"/>
        <v>0.67420046893317709</v>
      </c>
      <c r="C112" s="223">
        <f t="shared" si="4"/>
        <v>0.99851103435438171</v>
      </c>
      <c r="D112" s="223">
        <f t="shared" si="4"/>
        <v>0.71834655928983349</v>
      </c>
      <c r="E112" s="223"/>
      <c r="F112" s="223">
        <f>+F96/F88</f>
        <v>0.97670881351187422</v>
      </c>
      <c r="G112" s="221"/>
      <c r="H112" s="223">
        <f t="shared" si="4"/>
        <v>0.5793106388353807</v>
      </c>
      <c r="I112" s="223">
        <f t="shared" si="4"/>
        <v>0.56161642801312284</v>
      </c>
      <c r="J112" s="223">
        <f t="shared" si="4"/>
        <v>0.38743813669693666</v>
      </c>
      <c r="K112" s="223">
        <f t="shared" si="4"/>
        <v>0.52112236698146142</v>
      </c>
      <c r="L112" s="224">
        <f t="shared" si="4"/>
        <v>0.66292671395561986</v>
      </c>
      <c r="M112" s="219"/>
    </row>
  </sheetData>
  <mergeCells count="4">
    <mergeCell ref="B82:D82"/>
    <mergeCell ref="B90:D90"/>
    <mergeCell ref="B98:D98"/>
    <mergeCell ref="B106:D106"/>
  </mergeCells>
  <pageMargins left="0.25" right="0.25" top="0.75" bottom="0.75" header="0.3" footer="0.3"/>
  <pageSetup scale="80" orientation="landscape" r:id="rId1"/>
  <rowBreaks count="1" manualBreakCount="1">
    <brk id="7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3"/>
  <sheetViews>
    <sheetView topLeftCell="A16" zoomScaleNormal="100" workbookViewId="0">
      <pane xSplit="6" topLeftCell="AJ1" activePane="topRight" state="frozen"/>
      <selection pane="topRight" activeCell="BA39" sqref="BA39"/>
    </sheetView>
  </sheetViews>
  <sheetFormatPr defaultRowHeight="15" x14ac:dyDescent="0.25"/>
  <cols>
    <col min="1" max="5" width="3" style="463" customWidth="1"/>
    <col min="6" max="6" width="37.42578125" style="463" bestFit="1" customWidth="1"/>
    <col min="7" max="7" width="16.42578125" style="464" bestFit="1" customWidth="1"/>
    <col min="8" max="8" width="2.28515625" style="464" customWidth="1"/>
    <col min="9" max="9" width="21.42578125" style="464" bestFit="1" customWidth="1"/>
    <col min="10" max="10" width="2.28515625" style="464" customWidth="1"/>
    <col min="11" max="11" width="19.7109375" style="464" bestFit="1" customWidth="1"/>
    <col min="12" max="12" width="2.28515625" style="464" customWidth="1"/>
    <col min="13" max="13" width="15.42578125" style="464" bestFit="1" customWidth="1"/>
    <col min="14" max="14" width="2.28515625" style="464" customWidth="1"/>
    <col min="15" max="15" width="25.85546875" style="464" bestFit="1" customWidth="1"/>
    <col min="16" max="16" width="2.28515625" style="464" customWidth="1"/>
    <col min="17" max="17" width="23.5703125" style="464" bestFit="1" customWidth="1"/>
    <col min="18" max="18" width="2.28515625" style="464" customWidth="1"/>
    <col min="19" max="19" width="23.5703125" style="464" bestFit="1" customWidth="1"/>
    <col min="20" max="20" width="2.28515625" style="464" customWidth="1"/>
    <col min="21" max="21" width="23.5703125" style="464" bestFit="1" customWidth="1"/>
    <col min="22" max="22" width="2.28515625" style="464" customWidth="1"/>
    <col min="23" max="23" width="28.42578125" style="464" bestFit="1" customWidth="1"/>
    <col min="24" max="24" width="2.28515625" style="464" customWidth="1"/>
    <col min="25" max="25" width="26.85546875" style="464" bestFit="1" customWidth="1"/>
    <col min="26" max="26" width="2.28515625" style="464" customWidth="1"/>
    <col min="27" max="27" width="18.42578125" style="464" bestFit="1" customWidth="1"/>
    <col min="28" max="28" width="2.28515625" style="464" customWidth="1"/>
    <col min="29" max="29" width="18.42578125" style="464" bestFit="1" customWidth="1"/>
    <col min="30" max="30" width="2.28515625" style="464" customWidth="1"/>
    <col min="31" max="31" width="16.85546875" style="464" bestFit="1" customWidth="1"/>
    <col min="32" max="32" width="2.28515625" style="464" customWidth="1"/>
    <col min="33" max="33" width="16.85546875" style="464" bestFit="1" customWidth="1"/>
    <col min="34" max="34" width="2.28515625" style="464" customWidth="1"/>
    <col min="35" max="35" width="21.85546875" style="464" bestFit="1" customWidth="1"/>
    <col min="36" max="36" width="2.28515625" style="464" customWidth="1"/>
    <col min="37" max="37" width="20.140625" style="464" bestFit="1" customWidth="1"/>
    <col min="38" max="38" width="2.28515625" style="464" customWidth="1"/>
    <col min="39" max="39" width="24.7109375" style="464" bestFit="1" customWidth="1"/>
    <col min="40" max="40" width="2.28515625" style="464" customWidth="1"/>
    <col min="41" max="41" width="20.7109375" style="464" bestFit="1" customWidth="1"/>
    <col min="42" max="42" width="2.28515625" style="464" customWidth="1"/>
    <col min="43" max="43" width="19.140625" style="464" bestFit="1" customWidth="1"/>
    <col min="44" max="44" width="2.28515625" style="464" customWidth="1"/>
    <col min="45" max="45" width="17.28515625" style="464" bestFit="1" customWidth="1"/>
    <col min="46" max="46" width="2.28515625" style="464" customWidth="1"/>
    <col min="47" max="47" width="8.42578125" style="464" bestFit="1" customWidth="1"/>
    <col min="48" max="48" width="2.28515625" style="464" customWidth="1"/>
    <col min="49" max="49" width="10.5703125" style="464" bestFit="1" customWidth="1"/>
    <col min="50" max="50" width="2.28515625" style="464" customWidth="1"/>
    <col min="51" max="51" width="11.5703125" style="464" bestFit="1" customWidth="1"/>
    <col min="52" max="52" width="9.140625" style="462"/>
    <col min="53" max="53" width="12.140625" style="462" bestFit="1" customWidth="1"/>
    <col min="54" max="54" width="12.42578125" style="462" customWidth="1"/>
    <col min="55" max="56" width="10.140625" style="462" bestFit="1" customWidth="1"/>
    <col min="57" max="16384" width="9.140625" style="462"/>
  </cols>
  <sheetData>
    <row r="1" spans="1:55" ht="15.75" x14ac:dyDescent="0.25">
      <c r="A1" s="498" t="s">
        <v>364</v>
      </c>
      <c r="B1" s="485"/>
      <c r="C1" s="485"/>
      <c r="D1" s="485"/>
      <c r="E1" s="485"/>
      <c r="F1" s="485"/>
      <c r="G1" s="485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  <c r="Y1" s="307"/>
      <c r="Z1" s="307"/>
      <c r="AA1" s="307"/>
      <c r="AB1" s="307"/>
      <c r="AC1" s="307"/>
      <c r="AD1" s="307"/>
      <c r="AE1" s="307"/>
      <c r="AF1" s="307"/>
      <c r="AG1" s="307"/>
      <c r="AH1" s="307"/>
      <c r="AI1" s="307"/>
      <c r="AJ1" s="307"/>
      <c r="AK1" s="307"/>
      <c r="AL1" s="307"/>
      <c r="AM1" s="307"/>
      <c r="AN1" s="307"/>
      <c r="AO1" s="307"/>
      <c r="AP1" s="307"/>
      <c r="AQ1" s="307"/>
      <c r="AR1" s="307"/>
      <c r="AS1" s="307"/>
      <c r="AT1" s="307"/>
      <c r="AU1" s="307"/>
      <c r="AV1" s="307"/>
      <c r="AW1" s="307"/>
      <c r="AX1" s="307"/>
      <c r="AY1" s="499" t="s">
        <v>516</v>
      </c>
    </row>
    <row r="2" spans="1:55" ht="18" x14ac:dyDescent="0.25">
      <c r="A2" s="500" t="s">
        <v>365</v>
      </c>
      <c r="B2" s="485"/>
      <c r="C2" s="485"/>
      <c r="D2" s="485"/>
      <c r="E2" s="485"/>
      <c r="F2" s="485"/>
      <c r="G2" s="485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07"/>
      <c r="Z2" s="307"/>
      <c r="AA2" s="307"/>
      <c r="AB2" s="307"/>
      <c r="AC2" s="307"/>
      <c r="AD2" s="307"/>
      <c r="AE2" s="307"/>
      <c r="AF2" s="307"/>
      <c r="AG2" s="307"/>
      <c r="AH2" s="307"/>
      <c r="AI2" s="307"/>
      <c r="AJ2" s="307"/>
      <c r="AK2" s="307"/>
      <c r="AL2" s="307"/>
      <c r="AM2" s="307"/>
      <c r="AN2" s="307"/>
      <c r="AO2" s="307"/>
      <c r="AP2" s="307"/>
      <c r="AQ2" s="307"/>
      <c r="AR2" s="307"/>
      <c r="AS2" s="307"/>
      <c r="AT2" s="307"/>
      <c r="AU2" s="307"/>
      <c r="AV2" s="307"/>
      <c r="AW2" s="307"/>
      <c r="AX2" s="307"/>
      <c r="AY2" s="501">
        <v>44000</v>
      </c>
    </row>
    <row r="3" spans="1:55" ht="15.75" thickBot="1" x14ac:dyDescent="0.3">
      <c r="A3" s="502" t="s">
        <v>517</v>
      </c>
      <c r="B3" s="485"/>
      <c r="C3" s="485"/>
      <c r="D3" s="485"/>
      <c r="E3" s="485"/>
      <c r="F3" s="485"/>
      <c r="G3" s="485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07"/>
      <c r="X3" s="307"/>
      <c r="Y3" s="307"/>
      <c r="Z3" s="307"/>
      <c r="AA3" s="307"/>
      <c r="AB3" s="307"/>
      <c r="AC3" s="307"/>
      <c r="AD3" s="307"/>
      <c r="AE3" s="307"/>
      <c r="AF3" s="307"/>
      <c r="AG3" s="307"/>
      <c r="AH3" s="307"/>
      <c r="AI3" s="307"/>
      <c r="AJ3" s="307"/>
      <c r="AK3" s="307"/>
      <c r="AL3" s="307"/>
      <c r="AM3" s="307"/>
      <c r="AN3" s="307"/>
      <c r="AO3" s="307"/>
      <c r="AP3" s="307"/>
      <c r="AQ3" s="307"/>
      <c r="AR3" s="307"/>
      <c r="AS3" s="307"/>
      <c r="AT3" s="307"/>
      <c r="AU3" s="307"/>
      <c r="AV3" s="307"/>
      <c r="AW3" s="307"/>
      <c r="AX3" s="307"/>
      <c r="AY3" s="499" t="s">
        <v>366</v>
      </c>
    </row>
    <row r="4" spans="1:55" s="466" customFormat="1" x14ac:dyDescent="0.25">
      <c r="A4" s="465"/>
      <c r="B4" s="465"/>
      <c r="C4" s="465"/>
      <c r="D4" s="465"/>
      <c r="E4" s="465"/>
      <c r="F4" s="465"/>
      <c r="G4" s="465" t="s">
        <v>124</v>
      </c>
      <c r="H4" s="310"/>
      <c r="I4" s="465" t="s">
        <v>126</v>
      </c>
      <c r="J4" s="310"/>
      <c r="K4" s="310"/>
      <c r="L4" s="310"/>
      <c r="M4" s="310"/>
      <c r="N4" s="310"/>
      <c r="O4" s="465" t="s">
        <v>367</v>
      </c>
      <c r="P4" s="310"/>
      <c r="Q4" s="465" t="s">
        <v>368</v>
      </c>
      <c r="R4" s="310"/>
      <c r="S4" s="465" t="s">
        <v>369</v>
      </c>
      <c r="T4" s="310"/>
      <c r="U4" s="465" t="s">
        <v>370</v>
      </c>
      <c r="V4" s="310"/>
      <c r="W4" s="465" t="s">
        <v>371</v>
      </c>
      <c r="X4" s="310"/>
      <c r="Y4" s="465" t="s">
        <v>372</v>
      </c>
      <c r="Z4" s="310"/>
      <c r="AA4" s="465" t="s">
        <v>373</v>
      </c>
      <c r="AB4" s="310"/>
      <c r="AC4" s="465" t="s">
        <v>374</v>
      </c>
      <c r="AD4" s="310"/>
      <c r="AE4" s="465" t="s">
        <v>375</v>
      </c>
      <c r="AF4" s="310"/>
      <c r="AG4" s="465" t="s">
        <v>376</v>
      </c>
      <c r="AH4" s="310"/>
      <c r="AI4" s="465" t="s">
        <v>377</v>
      </c>
      <c r="AJ4" s="310"/>
      <c r="AK4" s="465" t="s">
        <v>378</v>
      </c>
      <c r="AL4" s="310"/>
      <c r="AM4" s="465" t="s">
        <v>379</v>
      </c>
      <c r="AN4" s="310"/>
      <c r="AO4" s="465" t="s">
        <v>380</v>
      </c>
      <c r="AP4" s="310"/>
      <c r="AQ4" s="465" t="s">
        <v>381</v>
      </c>
      <c r="AR4" s="310"/>
      <c r="AS4" s="310"/>
      <c r="AT4" s="310"/>
      <c r="AU4" s="310"/>
      <c r="AV4" s="310"/>
      <c r="AW4" s="310"/>
      <c r="AX4" s="310"/>
      <c r="AY4" s="310"/>
      <c r="BA4" s="546"/>
      <c r="BB4" s="535" t="s">
        <v>382</v>
      </c>
      <c r="BC4" s="536"/>
    </row>
    <row r="5" spans="1:55" s="466" customFormat="1" ht="15.75" thickBot="1" x14ac:dyDescent="0.3">
      <c r="A5" s="465"/>
      <c r="B5" s="465"/>
      <c r="C5" s="465"/>
      <c r="D5" s="465"/>
      <c r="E5" s="465"/>
      <c r="F5" s="465"/>
      <c r="G5" s="341" t="s">
        <v>145</v>
      </c>
      <c r="H5" s="310"/>
      <c r="I5" s="341" t="s">
        <v>145</v>
      </c>
      <c r="J5" s="310"/>
      <c r="K5" s="341" t="s">
        <v>146</v>
      </c>
      <c r="L5" s="310"/>
      <c r="M5" s="341" t="s">
        <v>383</v>
      </c>
      <c r="N5" s="310"/>
      <c r="O5" s="341" t="s">
        <v>384</v>
      </c>
      <c r="P5" s="310"/>
      <c r="Q5" s="341" t="s">
        <v>384</v>
      </c>
      <c r="R5" s="310"/>
      <c r="S5" s="341" t="s">
        <v>384</v>
      </c>
      <c r="T5" s="310"/>
      <c r="U5" s="341" t="s">
        <v>384</v>
      </c>
      <c r="V5" s="310"/>
      <c r="W5" s="341" t="s">
        <v>384</v>
      </c>
      <c r="X5" s="310"/>
      <c r="Y5" s="341" t="s">
        <v>149</v>
      </c>
      <c r="Z5" s="310"/>
      <c r="AA5" s="341" t="s">
        <v>385</v>
      </c>
      <c r="AB5" s="310"/>
      <c r="AC5" s="341" t="s">
        <v>385</v>
      </c>
      <c r="AD5" s="310"/>
      <c r="AE5" s="341" t="s">
        <v>386</v>
      </c>
      <c r="AF5" s="310"/>
      <c r="AG5" s="341" t="s">
        <v>386</v>
      </c>
      <c r="AH5" s="310"/>
      <c r="AI5" s="341" t="s">
        <v>386</v>
      </c>
      <c r="AJ5" s="310"/>
      <c r="AK5" s="341" t="s">
        <v>149</v>
      </c>
      <c r="AL5" s="310"/>
      <c r="AM5" s="341" t="s">
        <v>387</v>
      </c>
      <c r="AN5" s="310"/>
      <c r="AO5" s="341" t="s">
        <v>387</v>
      </c>
      <c r="AP5" s="310"/>
      <c r="AQ5" s="341" t="s">
        <v>149</v>
      </c>
      <c r="AR5" s="310"/>
      <c r="AS5" s="341" t="s">
        <v>152</v>
      </c>
      <c r="AT5" s="310"/>
      <c r="AU5" s="341" t="s">
        <v>503</v>
      </c>
      <c r="AV5" s="310"/>
      <c r="AW5" s="341" t="s">
        <v>388</v>
      </c>
      <c r="AX5" s="310"/>
      <c r="AY5" s="341" t="s">
        <v>156</v>
      </c>
      <c r="BA5" s="532" t="s">
        <v>323</v>
      </c>
      <c r="BB5" s="160" t="s">
        <v>343</v>
      </c>
      <c r="BC5" s="262" t="s">
        <v>389</v>
      </c>
    </row>
    <row r="6" spans="1:55" ht="15.75" thickTop="1" x14ac:dyDescent="0.25">
      <c r="A6" s="485" t="s">
        <v>157</v>
      </c>
      <c r="B6" s="485"/>
      <c r="C6" s="485"/>
      <c r="D6" s="485"/>
      <c r="E6" s="485"/>
      <c r="F6" s="485"/>
      <c r="G6" s="468"/>
      <c r="H6" s="312"/>
      <c r="I6" s="468"/>
      <c r="J6" s="312"/>
      <c r="K6" s="468"/>
      <c r="L6" s="312"/>
      <c r="M6" s="468"/>
      <c r="N6" s="312"/>
      <c r="O6" s="468"/>
      <c r="P6" s="312"/>
      <c r="Q6" s="468"/>
      <c r="R6" s="312"/>
      <c r="S6" s="468"/>
      <c r="T6" s="312"/>
      <c r="U6" s="468"/>
      <c r="V6" s="312"/>
      <c r="W6" s="468"/>
      <c r="X6" s="312"/>
      <c r="Y6" s="468"/>
      <c r="Z6" s="312"/>
      <c r="AA6" s="468"/>
      <c r="AB6" s="312"/>
      <c r="AC6" s="468"/>
      <c r="AD6" s="312"/>
      <c r="AE6" s="468"/>
      <c r="AF6" s="312"/>
      <c r="AG6" s="468"/>
      <c r="AH6" s="312"/>
      <c r="AI6" s="468"/>
      <c r="AJ6" s="312"/>
      <c r="AK6" s="468"/>
      <c r="AL6" s="312"/>
      <c r="AM6" s="468"/>
      <c r="AN6" s="312"/>
      <c r="AO6" s="468"/>
      <c r="AP6" s="312"/>
      <c r="AQ6" s="468"/>
      <c r="AR6" s="312"/>
      <c r="AS6" s="468"/>
      <c r="AT6" s="312"/>
      <c r="AU6" s="468"/>
      <c r="AV6" s="312"/>
      <c r="AW6" s="468"/>
      <c r="AX6" s="312"/>
      <c r="AY6" s="468"/>
      <c r="BA6" s="90"/>
      <c r="BB6" s="401"/>
      <c r="BC6" s="72"/>
    </row>
    <row r="7" spans="1:55" x14ac:dyDescent="0.25">
      <c r="A7" s="485"/>
      <c r="B7" s="485"/>
      <c r="C7" s="485" t="s">
        <v>158</v>
      </c>
      <c r="D7" s="485"/>
      <c r="E7" s="485"/>
      <c r="F7" s="485"/>
      <c r="G7" s="468"/>
      <c r="H7" s="312"/>
      <c r="I7" s="468"/>
      <c r="J7" s="312"/>
      <c r="K7" s="468"/>
      <c r="L7" s="312"/>
      <c r="M7" s="468"/>
      <c r="N7" s="312"/>
      <c r="O7" s="468"/>
      <c r="P7" s="312"/>
      <c r="Q7" s="468"/>
      <c r="R7" s="312"/>
      <c r="S7" s="468"/>
      <c r="T7" s="312"/>
      <c r="U7" s="468"/>
      <c r="V7" s="312"/>
      <c r="W7" s="468"/>
      <c r="X7" s="312"/>
      <c r="Y7" s="468"/>
      <c r="Z7" s="312"/>
      <c r="AA7" s="468"/>
      <c r="AB7" s="312"/>
      <c r="AC7" s="468"/>
      <c r="AD7" s="312"/>
      <c r="AE7" s="468"/>
      <c r="AF7" s="312"/>
      <c r="AG7" s="468"/>
      <c r="AH7" s="312"/>
      <c r="AI7" s="468"/>
      <c r="AJ7" s="312"/>
      <c r="AK7" s="468"/>
      <c r="AL7" s="312"/>
      <c r="AM7" s="468"/>
      <c r="AN7" s="312"/>
      <c r="AO7" s="468"/>
      <c r="AP7" s="312"/>
      <c r="AQ7" s="468"/>
      <c r="AR7" s="312"/>
      <c r="AS7" s="468"/>
      <c r="AT7" s="312"/>
      <c r="AU7" s="468"/>
      <c r="AV7" s="312"/>
      <c r="AW7" s="468"/>
      <c r="AX7" s="312"/>
      <c r="AY7" s="468"/>
      <c r="BA7" s="90"/>
      <c r="BB7" s="401"/>
      <c r="BC7" s="72"/>
    </row>
    <row r="8" spans="1:55" x14ac:dyDescent="0.25">
      <c r="A8" s="485"/>
      <c r="B8" s="485"/>
      <c r="C8" s="485"/>
      <c r="D8" s="485" t="s">
        <v>160</v>
      </c>
      <c r="E8" s="485"/>
      <c r="F8" s="485"/>
      <c r="G8" s="468"/>
      <c r="H8" s="312"/>
      <c r="I8" s="468"/>
      <c r="J8" s="312"/>
      <c r="K8" s="468"/>
      <c r="L8" s="312"/>
      <c r="M8" s="468"/>
      <c r="N8" s="312"/>
      <c r="O8" s="468"/>
      <c r="P8" s="312"/>
      <c r="Q8" s="468"/>
      <c r="R8" s="312"/>
      <c r="S8" s="468"/>
      <c r="T8" s="312"/>
      <c r="U8" s="468"/>
      <c r="V8" s="312"/>
      <c r="W8" s="468"/>
      <c r="X8" s="312"/>
      <c r="Y8" s="468"/>
      <c r="Z8" s="312"/>
      <c r="AA8" s="468"/>
      <c r="AB8" s="312"/>
      <c r="AC8" s="468"/>
      <c r="AD8" s="312"/>
      <c r="AE8" s="468"/>
      <c r="AF8" s="312"/>
      <c r="AG8" s="468"/>
      <c r="AH8" s="312"/>
      <c r="AI8" s="468"/>
      <c r="AJ8" s="312"/>
      <c r="AK8" s="468"/>
      <c r="AL8" s="312"/>
      <c r="AM8" s="468"/>
      <c r="AN8" s="312"/>
      <c r="AO8" s="468"/>
      <c r="AP8" s="312"/>
      <c r="AQ8" s="468"/>
      <c r="AR8" s="312"/>
      <c r="AS8" s="468"/>
      <c r="AT8" s="312"/>
      <c r="AU8" s="468"/>
      <c r="AV8" s="312"/>
      <c r="AW8" s="468"/>
      <c r="AX8" s="312"/>
      <c r="AY8" s="468"/>
      <c r="BA8" s="90"/>
      <c r="BB8" s="401"/>
      <c r="BC8" s="72"/>
    </row>
    <row r="9" spans="1:55" x14ac:dyDescent="0.25">
      <c r="A9" s="485"/>
      <c r="B9" s="485"/>
      <c r="C9" s="485"/>
      <c r="D9" s="485"/>
      <c r="E9" s="485" t="s">
        <v>390</v>
      </c>
      <c r="F9" s="485"/>
      <c r="G9" s="468"/>
      <c r="H9" s="312"/>
      <c r="I9" s="468"/>
      <c r="J9" s="312"/>
      <c r="K9" s="468"/>
      <c r="L9" s="312"/>
      <c r="M9" s="468"/>
      <c r="N9" s="312"/>
      <c r="O9" s="468"/>
      <c r="P9" s="312"/>
      <c r="Q9" s="468"/>
      <c r="R9" s="312"/>
      <c r="S9" s="468"/>
      <c r="T9" s="312"/>
      <c r="U9" s="468"/>
      <c r="V9" s="312"/>
      <c r="W9" s="468"/>
      <c r="X9" s="312"/>
      <c r="Y9" s="468"/>
      <c r="Z9" s="312"/>
      <c r="AA9" s="468"/>
      <c r="AB9" s="312"/>
      <c r="AC9" s="468"/>
      <c r="AD9" s="312"/>
      <c r="AE9" s="468"/>
      <c r="AF9" s="312"/>
      <c r="AG9" s="468"/>
      <c r="AH9" s="312"/>
      <c r="AI9" s="468"/>
      <c r="AJ9" s="312"/>
      <c r="AK9" s="468"/>
      <c r="AL9" s="312"/>
      <c r="AM9" s="468"/>
      <c r="AN9" s="312"/>
      <c r="AO9" s="468"/>
      <c r="AP9" s="312"/>
      <c r="AQ9" s="468"/>
      <c r="AR9" s="312"/>
      <c r="AS9" s="468"/>
      <c r="AT9" s="312"/>
      <c r="AU9" s="468"/>
      <c r="AV9" s="312"/>
      <c r="AW9" s="468"/>
      <c r="AX9" s="312"/>
      <c r="AY9" s="468"/>
      <c r="BA9" s="90"/>
      <c r="BB9" s="401"/>
      <c r="BC9" s="72"/>
    </row>
    <row r="10" spans="1:55" ht="15.75" thickBot="1" x14ac:dyDescent="0.3">
      <c r="A10" s="485"/>
      <c r="B10" s="485"/>
      <c r="C10" s="485"/>
      <c r="D10" s="485"/>
      <c r="E10" s="485"/>
      <c r="F10" s="485" t="s">
        <v>391</v>
      </c>
      <c r="G10" s="313">
        <v>0</v>
      </c>
      <c r="H10" s="312"/>
      <c r="I10" s="313">
        <v>12417.63</v>
      </c>
      <c r="J10" s="312"/>
      <c r="K10" s="313">
        <f t="shared" ref="K10:K19" si="0">ROUND(SUM(G10:I10),5)</f>
        <v>12417.63</v>
      </c>
      <c r="L10" s="312"/>
      <c r="M10" s="313">
        <v>0</v>
      </c>
      <c r="N10" s="312"/>
      <c r="O10" s="313">
        <v>0</v>
      </c>
      <c r="P10" s="312"/>
      <c r="Q10" s="313">
        <v>0</v>
      </c>
      <c r="R10" s="312"/>
      <c r="S10" s="313">
        <v>0</v>
      </c>
      <c r="T10" s="312"/>
      <c r="U10" s="313">
        <v>0</v>
      </c>
      <c r="V10" s="312"/>
      <c r="W10" s="313">
        <v>0</v>
      </c>
      <c r="X10" s="312"/>
      <c r="Y10" s="313">
        <f t="shared" ref="Y10:Y19" si="1">ROUND(SUM(O10:W10),5)</f>
        <v>0</v>
      </c>
      <c r="Z10" s="312"/>
      <c r="AA10" s="313">
        <v>0</v>
      </c>
      <c r="AB10" s="312"/>
      <c r="AC10" s="313">
        <v>0</v>
      </c>
      <c r="AD10" s="312"/>
      <c r="AE10" s="313">
        <f t="shared" ref="AE10:AE19" si="2">ROUND(SUM(AA10:AC10),5)</f>
        <v>0</v>
      </c>
      <c r="AF10" s="312"/>
      <c r="AG10" s="313">
        <v>0</v>
      </c>
      <c r="AH10" s="312"/>
      <c r="AI10" s="313">
        <v>0</v>
      </c>
      <c r="AJ10" s="312"/>
      <c r="AK10" s="313">
        <f t="shared" ref="AK10:AK19" si="3">ROUND(SUM(AE10:AI10),5)</f>
        <v>0</v>
      </c>
      <c r="AL10" s="312"/>
      <c r="AM10" s="313">
        <v>0</v>
      </c>
      <c r="AN10" s="312"/>
      <c r="AO10" s="313">
        <v>0</v>
      </c>
      <c r="AP10" s="312"/>
      <c r="AQ10" s="313">
        <f t="shared" ref="AQ10:AQ19" si="4">ROUND(SUM(AM10:AO10),5)</f>
        <v>0</v>
      </c>
      <c r="AR10" s="312"/>
      <c r="AS10" s="313">
        <f t="shared" ref="AS10:AS19" si="5">ROUND(Y10+AK10+AQ10,5)</f>
        <v>0</v>
      </c>
      <c r="AT10" s="312"/>
      <c r="AU10" s="313">
        <v>0</v>
      </c>
      <c r="AV10" s="312"/>
      <c r="AW10" s="313">
        <v>0</v>
      </c>
      <c r="AX10" s="312"/>
      <c r="AY10" s="313">
        <f t="shared" ref="AY10:AY19" si="6">ROUND(SUM(K10:M10)+SUM(AS10:AW10),5)</f>
        <v>12417.63</v>
      </c>
      <c r="BA10" s="538">
        <f>AY10-BB10</f>
        <v>12417.63</v>
      </c>
      <c r="BB10" s="504">
        <f>S10+U10+AQ10</f>
        <v>0</v>
      </c>
      <c r="BC10" s="534">
        <f>BA10+BB10</f>
        <v>12417.63</v>
      </c>
    </row>
    <row r="11" spans="1:55" x14ac:dyDescent="0.25">
      <c r="A11" s="485"/>
      <c r="B11" s="485"/>
      <c r="C11" s="485"/>
      <c r="D11" s="485"/>
      <c r="E11" s="485" t="s">
        <v>392</v>
      </c>
      <c r="F11" s="485"/>
      <c r="G11" s="468">
        <f>ROUND(SUM(G9:G10),5)</f>
        <v>0</v>
      </c>
      <c r="H11" s="312"/>
      <c r="I11" s="468">
        <f>ROUND(SUM(I9:I10),5)</f>
        <v>12417.63</v>
      </c>
      <c r="J11" s="312"/>
      <c r="K11" s="468">
        <f t="shared" si="0"/>
        <v>12417.63</v>
      </c>
      <c r="L11" s="312"/>
      <c r="M11" s="468">
        <f>ROUND(SUM(M9:M10),5)</f>
        <v>0</v>
      </c>
      <c r="N11" s="312"/>
      <c r="O11" s="468">
        <f>ROUND(SUM(O9:O10),5)</f>
        <v>0</v>
      </c>
      <c r="P11" s="312"/>
      <c r="Q11" s="468">
        <f>ROUND(SUM(Q9:Q10),5)</f>
        <v>0</v>
      </c>
      <c r="R11" s="312"/>
      <c r="S11" s="468">
        <f>ROUND(SUM(S9:S10),5)</f>
        <v>0</v>
      </c>
      <c r="T11" s="312"/>
      <c r="U11" s="468">
        <f>ROUND(SUM(U9:U10),5)</f>
        <v>0</v>
      </c>
      <c r="V11" s="312"/>
      <c r="W11" s="468">
        <f>ROUND(SUM(W9:W10),5)</f>
        <v>0</v>
      </c>
      <c r="X11" s="312"/>
      <c r="Y11" s="468">
        <f t="shared" si="1"/>
        <v>0</v>
      </c>
      <c r="Z11" s="312"/>
      <c r="AA11" s="468">
        <f>ROUND(SUM(AA9:AA10),5)</f>
        <v>0</v>
      </c>
      <c r="AB11" s="312"/>
      <c r="AC11" s="468">
        <f>ROUND(SUM(AC9:AC10),5)</f>
        <v>0</v>
      </c>
      <c r="AD11" s="312"/>
      <c r="AE11" s="468">
        <f t="shared" si="2"/>
        <v>0</v>
      </c>
      <c r="AF11" s="312"/>
      <c r="AG11" s="468">
        <f>ROUND(SUM(AG9:AG10),5)</f>
        <v>0</v>
      </c>
      <c r="AH11" s="312"/>
      <c r="AI11" s="468">
        <f>ROUND(SUM(AI9:AI10),5)</f>
        <v>0</v>
      </c>
      <c r="AJ11" s="312"/>
      <c r="AK11" s="468">
        <f t="shared" si="3"/>
        <v>0</v>
      </c>
      <c r="AL11" s="312"/>
      <c r="AM11" s="468">
        <f>ROUND(SUM(AM9:AM10),5)</f>
        <v>0</v>
      </c>
      <c r="AN11" s="312"/>
      <c r="AO11" s="468">
        <f>ROUND(SUM(AO9:AO10),5)</f>
        <v>0</v>
      </c>
      <c r="AP11" s="312"/>
      <c r="AQ11" s="468">
        <f t="shared" si="4"/>
        <v>0</v>
      </c>
      <c r="AR11" s="312"/>
      <c r="AS11" s="468">
        <f t="shared" si="5"/>
        <v>0</v>
      </c>
      <c r="AT11" s="312"/>
      <c r="AU11" s="468">
        <f>ROUND(SUM(AU9:AU10),5)</f>
        <v>0</v>
      </c>
      <c r="AV11" s="312"/>
      <c r="AW11" s="468">
        <f>ROUND(SUM(AW9:AW10),5)</f>
        <v>0</v>
      </c>
      <c r="AX11" s="312"/>
      <c r="AY11" s="468">
        <f t="shared" si="6"/>
        <v>12417.63</v>
      </c>
      <c r="BA11" s="537">
        <f t="shared" ref="BA11:BA32" si="7">AY11-BB11</f>
        <v>12417.63</v>
      </c>
      <c r="BB11" s="512">
        <f t="shared" ref="BB11:BB52" si="8">S11+U11+AQ11</f>
        <v>0</v>
      </c>
      <c r="BC11" s="533">
        <f t="shared" ref="BC11:BC33" si="9">BA11+BB11</f>
        <v>12417.63</v>
      </c>
    </row>
    <row r="12" spans="1:55" x14ac:dyDescent="0.25">
      <c r="A12" s="485"/>
      <c r="B12" s="485"/>
      <c r="C12" s="485"/>
      <c r="D12" s="485"/>
      <c r="E12" s="485" t="s">
        <v>393</v>
      </c>
      <c r="F12" s="485"/>
      <c r="G12" s="468">
        <v>0</v>
      </c>
      <c r="H12" s="312"/>
      <c r="I12" s="468">
        <v>0</v>
      </c>
      <c r="J12" s="312"/>
      <c r="K12" s="468">
        <f t="shared" si="0"/>
        <v>0</v>
      </c>
      <c r="L12" s="312"/>
      <c r="M12" s="468">
        <v>0</v>
      </c>
      <c r="N12" s="312"/>
      <c r="O12" s="468">
        <v>0</v>
      </c>
      <c r="P12" s="312"/>
      <c r="Q12" s="468">
        <v>0</v>
      </c>
      <c r="R12" s="312"/>
      <c r="S12" s="468">
        <v>0</v>
      </c>
      <c r="T12" s="312"/>
      <c r="U12" s="468">
        <v>0</v>
      </c>
      <c r="V12" s="312"/>
      <c r="W12" s="468">
        <v>0</v>
      </c>
      <c r="X12" s="312"/>
      <c r="Y12" s="468">
        <f t="shared" si="1"/>
        <v>0</v>
      </c>
      <c r="Z12" s="312"/>
      <c r="AA12" s="468">
        <v>0</v>
      </c>
      <c r="AB12" s="312"/>
      <c r="AC12" s="468">
        <v>0</v>
      </c>
      <c r="AD12" s="312"/>
      <c r="AE12" s="468">
        <f t="shared" si="2"/>
        <v>0</v>
      </c>
      <c r="AF12" s="312"/>
      <c r="AG12" s="468">
        <v>0</v>
      </c>
      <c r="AH12" s="312"/>
      <c r="AI12" s="468">
        <v>0</v>
      </c>
      <c r="AJ12" s="312"/>
      <c r="AK12" s="468">
        <f t="shared" si="3"/>
        <v>0</v>
      </c>
      <c r="AL12" s="312"/>
      <c r="AM12" s="468">
        <v>0</v>
      </c>
      <c r="AN12" s="312"/>
      <c r="AO12" s="468">
        <v>24150</v>
      </c>
      <c r="AP12" s="312"/>
      <c r="AQ12" s="468">
        <f t="shared" si="4"/>
        <v>24150</v>
      </c>
      <c r="AR12" s="312"/>
      <c r="AS12" s="468">
        <f t="shared" si="5"/>
        <v>24150</v>
      </c>
      <c r="AT12" s="312"/>
      <c r="AU12" s="468">
        <v>0</v>
      </c>
      <c r="AV12" s="312"/>
      <c r="AW12" s="468">
        <v>0</v>
      </c>
      <c r="AX12" s="312"/>
      <c r="AY12" s="468">
        <f t="shared" si="6"/>
        <v>24150</v>
      </c>
      <c r="BA12" s="537">
        <f t="shared" si="7"/>
        <v>0</v>
      </c>
      <c r="BB12" s="512">
        <f t="shared" si="8"/>
        <v>24150</v>
      </c>
      <c r="BC12" s="533">
        <f t="shared" si="9"/>
        <v>24150</v>
      </c>
    </row>
    <row r="13" spans="1:55" x14ac:dyDescent="0.25">
      <c r="A13" s="485"/>
      <c r="B13" s="485"/>
      <c r="C13" s="485"/>
      <c r="D13" s="485"/>
      <c r="E13" s="485" t="s">
        <v>394</v>
      </c>
      <c r="F13" s="485"/>
      <c r="G13" s="468">
        <v>0</v>
      </c>
      <c r="H13" s="312"/>
      <c r="I13" s="468">
        <v>0</v>
      </c>
      <c r="J13" s="312"/>
      <c r="K13" s="468">
        <f t="shared" si="0"/>
        <v>0</v>
      </c>
      <c r="L13" s="312"/>
      <c r="M13" s="468">
        <v>200</v>
      </c>
      <c r="N13" s="312"/>
      <c r="O13" s="468">
        <v>0</v>
      </c>
      <c r="P13" s="312"/>
      <c r="Q13" s="468">
        <v>0</v>
      </c>
      <c r="R13" s="312"/>
      <c r="S13" s="468">
        <v>0</v>
      </c>
      <c r="T13" s="312"/>
      <c r="U13" s="468">
        <v>0</v>
      </c>
      <c r="V13" s="312"/>
      <c r="W13" s="468">
        <v>0</v>
      </c>
      <c r="X13" s="312"/>
      <c r="Y13" s="468">
        <f t="shared" si="1"/>
        <v>0</v>
      </c>
      <c r="Z13" s="312"/>
      <c r="AA13" s="468">
        <v>0</v>
      </c>
      <c r="AB13" s="312"/>
      <c r="AC13" s="468">
        <v>0</v>
      </c>
      <c r="AD13" s="312"/>
      <c r="AE13" s="468">
        <f t="shared" si="2"/>
        <v>0</v>
      </c>
      <c r="AF13" s="312"/>
      <c r="AG13" s="468">
        <v>0</v>
      </c>
      <c r="AH13" s="312"/>
      <c r="AI13" s="468">
        <v>0</v>
      </c>
      <c r="AJ13" s="312"/>
      <c r="AK13" s="468">
        <f t="shared" si="3"/>
        <v>0</v>
      </c>
      <c r="AL13" s="312"/>
      <c r="AM13" s="468">
        <v>0</v>
      </c>
      <c r="AN13" s="312"/>
      <c r="AO13" s="468">
        <v>0</v>
      </c>
      <c r="AP13" s="312"/>
      <c r="AQ13" s="468">
        <f t="shared" si="4"/>
        <v>0</v>
      </c>
      <c r="AR13" s="312"/>
      <c r="AS13" s="468">
        <f t="shared" si="5"/>
        <v>0</v>
      </c>
      <c r="AT13" s="312"/>
      <c r="AU13" s="468">
        <v>0</v>
      </c>
      <c r="AV13" s="312"/>
      <c r="AW13" s="468">
        <v>0</v>
      </c>
      <c r="AX13" s="312"/>
      <c r="AY13" s="468">
        <f t="shared" si="6"/>
        <v>200</v>
      </c>
      <c r="BA13" s="537">
        <f t="shared" si="7"/>
        <v>200</v>
      </c>
      <c r="BB13" s="512">
        <f t="shared" si="8"/>
        <v>0</v>
      </c>
      <c r="BC13" s="533">
        <f t="shared" si="9"/>
        <v>200</v>
      </c>
    </row>
    <row r="14" spans="1:55" x14ac:dyDescent="0.25">
      <c r="A14" s="485"/>
      <c r="B14" s="485"/>
      <c r="C14" s="485"/>
      <c r="D14" s="485"/>
      <c r="E14" s="485" t="s">
        <v>395</v>
      </c>
      <c r="F14" s="485"/>
      <c r="G14" s="468">
        <v>0</v>
      </c>
      <c r="H14" s="312"/>
      <c r="I14" s="468">
        <v>0</v>
      </c>
      <c r="J14" s="312"/>
      <c r="K14" s="468">
        <f t="shared" si="0"/>
        <v>0</v>
      </c>
      <c r="L14" s="312"/>
      <c r="M14" s="468">
        <v>165133.57999999999</v>
      </c>
      <c r="N14" s="312"/>
      <c r="O14" s="468">
        <v>0</v>
      </c>
      <c r="P14" s="312"/>
      <c r="Q14" s="468">
        <v>0</v>
      </c>
      <c r="R14" s="312"/>
      <c r="S14" s="468">
        <v>0</v>
      </c>
      <c r="T14" s="312"/>
      <c r="U14" s="468">
        <v>0</v>
      </c>
      <c r="V14" s="312"/>
      <c r="W14" s="468">
        <v>0</v>
      </c>
      <c r="X14" s="312"/>
      <c r="Y14" s="468">
        <f t="shared" si="1"/>
        <v>0</v>
      </c>
      <c r="Z14" s="312"/>
      <c r="AA14" s="468">
        <v>0</v>
      </c>
      <c r="AB14" s="312"/>
      <c r="AC14" s="468">
        <v>0</v>
      </c>
      <c r="AD14" s="312"/>
      <c r="AE14" s="468">
        <f t="shared" si="2"/>
        <v>0</v>
      </c>
      <c r="AF14" s="312"/>
      <c r="AG14" s="468">
        <v>0</v>
      </c>
      <c r="AH14" s="312"/>
      <c r="AI14" s="468">
        <v>0</v>
      </c>
      <c r="AJ14" s="312"/>
      <c r="AK14" s="468">
        <f t="shared" si="3"/>
        <v>0</v>
      </c>
      <c r="AL14" s="312"/>
      <c r="AM14" s="468">
        <v>0</v>
      </c>
      <c r="AN14" s="312"/>
      <c r="AO14" s="468">
        <v>0</v>
      </c>
      <c r="AP14" s="312"/>
      <c r="AQ14" s="468">
        <f t="shared" si="4"/>
        <v>0</v>
      </c>
      <c r="AR14" s="312"/>
      <c r="AS14" s="468">
        <f t="shared" si="5"/>
        <v>0</v>
      </c>
      <c r="AT14" s="312"/>
      <c r="AU14" s="468">
        <v>0</v>
      </c>
      <c r="AV14" s="312"/>
      <c r="AW14" s="468">
        <v>0</v>
      </c>
      <c r="AX14" s="312"/>
      <c r="AY14" s="468">
        <f t="shared" si="6"/>
        <v>165133.57999999999</v>
      </c>
      <c r="BA14" s="537">
        <f t="shared" si="7"/>
        <v>165133.57999999999</v>
      </c>
      <c r="BB14" s="512">
        <f t="shared" si="8"/>
        <v>0</v>
      </c>
      <c r="BC14" s="533">
        <f t="shared" si="9"/>
        <v>165133.57999999999</v>
      </c>
    </row>
    <row r="15" spans="1:55" x14ac:dyDescent="0.25">
      <c r="A15" s="485"/>
      <c r="B15" s="485"/>
      <c r="C15" s="485"/>
      <c r="D15" s="485"/>
      <c r="E15" s="485" t="s">
        <v>396</v>
      </c>
      <c r="F15" s="485"/>
      <c r="G15" s="468">
        <v>0</v>
      </c>
      <c r="H15" s="312"/>
      <c r="I15" s="468">
        <v>0</v>
      </c>
      <c r="J15" s="312"/>
      <c r="K15" s="468">
        <f t="shared" si="0"/>
        <v>0</v>
      </c>
      <c r="L15" s="312"/>
      <c r="M15" s="468">
        <v>0</v>
      </c>
      <c r="N15" s="312"/>
      <c r="O15" s="468">
        <v>0</v>
      </c>
      <c r="P15" s="312"/>
      <c r="Q15" s="468">
        <v>0</v>
      </c>
      <c r="R15" s="312"/>
      <c r="S15" s="468">
        <v>0</v>
      </c>
      <c r="T15" s="312"/>
      <c r="U15" s="468">
        <v>0</v>
      </c>
      <c r="V15" s="312"/>
      <c r="W15" s="468">
        <v>0</v>
      </c>
      <c r="X15" s="312"/>
      <c r="Y15" s="468">
        <f t="shared" si="1"/>
        <v>0</v>
      </c>
      <c r="Z15" s="312"/>
      <c r="AA15" s="468">
        <v>0</v>
      </c>
      <c r="AB15" s="312"/>
      <c r="AC15" s="468">
        <v>0</v>
      </c>
      <c r="AD15" s="312"/>
      <c r="AE15" s="468">
        <f t="shared" si="2"/>
        <v>0</v>
      </c>
      <c r="AF15" s="312"/>
      <c r="AG15" s="468">
        <v>0</v>
      </c>
      <c r="AH15" s="312"/>
      <c r="AI15" s="468">
        <v>0</v>
      </c>
      <c r="AJ15" s="312"/>
      <c r="AK15" s="468">
        <f t="shared" si="3"/>
        <v>0</v>
      </c>
      <c r="AL15" s="312"/>
      <c r="AM15" s="468">
        <v>0</v>
      </c>
      <c r="AN15" s="312"/>
      <c r="AO15" s="468">
        <v>22299.7</v>
      </c>
      <c r="AP15" s="312"/>
      <c r="AQ15" s="468">
        <f t="shared" si="4"/>
        <v>22299.7</v>
      </c>
      <c r="AR15" s="312"/>
      <c r="AS15" s="468">
        <f t="shared" si="5"/>
        <v>22299.7</v>
      </c>
      <c r="AT15" s="312"/>
      <c r="AU15" s="468">
        <v>0</v>
      </c>
      <c r="AV15" s="312"/>
      <c r="AW15" s="468">
        <v>0</v>
      </c>
      <c r="AX15" s="312"/>
      <c r="AY15" s="468">
        <f t="shared" si="6"/>
        <v>22299.7</v>
      </c>
      <c r="BA15" s="537">
        <f t="shared" si="7"/>
        <v>0</v>
      </c>
      <c r="BB15" s="512">
        <f t="shared" si="8"/>
        <v>22299.7</v>
      </c>
      <c r="BC15" s="533">
        <f t="shared" si="9"/>
        <v>22299.7</v>
      </c>
    </row>
    <row r="16" spans="1:55" x14ac:dyDescent="0.25">
      <c r="A16" s="485"/>
      <c r="B16" s="485"/>
      <c r="C16" s="485"/>
      <c r="D16" s="485"/>
      <c r="E16" s="485" t="s">
        <v>205</v>
      </c>
      <c r="F16" s="485"/>
      <c r="G16" s="468">
        <v>357.04</v>
      </c>
      <c r="H16" s="312"/>
      <c r="I16" s="468">
        <v>0</v>
      </c>
      <c r="J16" s="312"/>
      <c r="K16" s="468">
        <f t="shared" si="0"/>
        <v>357.04</v>
      </c>
      <c r="L16" s="312"/>
      <c r="M16" s="468">
        <v>430</v>
      </c>
      <c r="N16" s="312"/>
      <c r="O16" s="468">
        <v>0</v>
      </c>
      <c r="P16" s="312"/>
      <c r="Q16" s="468">
        <v>0</v>
      </c>
      <c r="R16" s="312"/>
      <c r="S16" s="468">
        <v>0</v>
      </c>
      <c r="T16" s="312"/>
      <c r="U16" s="468">
        <v>0</v>
      </c>
      <c r="V16" s="312"/>
      <c r="W16" s="468">
        <v>0</v>
      </c>
      <c r="X16" s="312"/>
      <c r="Y16" s="468">
        <f t="shared" si="1"/>
        <v>0</v>
      </c>
      <c r="Z16" s="312"/>
      <c r="AA16" s="468">
        <v>0</v>
      </c>
      <c r="AB16" s="312"/>
      <c r="AC16" s="468">
        <v>0</v>
      </c>
      <c r="AD16" s="312"/>
      <c r="AE16" s="468">
        <f t="shared" si="2"/>
        <v>0</v>
      </c>
      <c r="AF16" s="312"/>
      <c r="AG16" s="468">
        <v>0</v>
      </c>
      <c r="AH16" s="312"/>
      <c r="AI16" s="468">
        <v>0</v>
      </c>
      <c r="AJ16" s="312"/>
      <c r="AK16" s="468">
        <f t="shared" si="3"/>
        <v>0</v>
      </c>
      <c r="AL16" s="312"/>
      <c r="AM16" s="468">
        <v>0</v>
      </c>
      <c r="AN16" s="312"/>
      <c r="AO16" s="468">
        <v>0</v>
      </c>
      <c r="AP16" s="312"/>
      <c r="AQ16" s="468">
        <f t="shared" si="4"/>
        <v>0</v>
      </c>
      <c r="AR16" s="312"/>
      <c r="AS16" s="468">
        <f t="shared" si="5"/>
        <v>0</v>
      </c>
      <c r="AT16" s="312"/>
      <c r="AU16" s="468">
        <v>0</v>
      </c>
      <c r="AV16" s="312"/>
      <c r="AW16" s="468">
        <v>0</v>
      </c>
      <c r="AX16" s="312"/>
      <c r="AY16" s="468">
        <f t="shared" si="6"/>
        <v>787.04</v>
      </c>
      <c r="BA16" s="537">
        <f t="shared" si="7"/>
        <v>787.04</v>
      </c>
      <c r="BB16" s="512">
        <f t="shared" si="8"/>
        <v>0</v>
      </c>
      <c r="BC16" s="533">
        <f t="shared" si="9"/>
        <v>787.04</v>
      </c>
    </row>
    <row r="17" spans="1:55" x14ac:dyDescent="0.25">
      <c r="A17" s="485"/>
      <c r="B17" s="485"/>
      <c r="C17" s="485"/>
      <c r="D17" s="485"/>
      <c r="E17" s="485" t="s">
        <v>206</v>
      </c>
      <c r="F17" s="485"/>
      <c r="G17" s="468">
        <v>0</v>
      </c>
      <c r="H17" s="312"/>
      <c r="I17" s="468">
        <v>0</v>
      </c>
      <c r="J17" s="312"/>
      <c r="K17" s="468">
        <f t="shared" si="0"/>
        <v>0</v>
      </c>
      <c r="L17" s="312"/>
      <c r="M17" s="468">
        <v>1450</v>
      </c>
      <c r="N17" s="312"/>
      <c r="O17" s="468">
        <v>0</v>
      </c>
      <c r="P17" s="312"/>
      <c r="Q17" s="468">
        <v>0</v>
      </c>
      <c r="R17" s="312"/>
      <c r="S17" s="468">
        <v>0</v>
      </c>
      <c r="T17" s="312"/>
      <c r="U17" s="468">
        <v>0</v>
      </c>
      <c r="V17" s="312"/>
      <c r="W17" s="468">
        <v>0</v>
      </c>
      <c r="X17" s="312"/>
      <c r="Y17" s="468">
        <f t="shared" si="1"/>
        <v>0</v>
      </c>
      <c r="Z17" s="312"/>
      <c r="AA17" s="468">
        <v>0</v>
      </c>
      <c r="AB17" s="312"/>
      <c r="AC17" s="468">
        <v>0</v>
      </c>
      <c r="AD17" s="312"/>
      <c r="AE17" s="468">
        <f t="shared" si="2"/>
        <v>0</v>
      </c>
      <c r="AF17" s="312"/>
      <c r="AG17" s="468">
        <v>0</v>
      </c>
      <c r="AH17" s="312"/>
      <c r="AI17" s="468">
        <v>0</v>
      </c>
      <c r="AJ17" s="312"/>
      <c r="AK17" s="468">
        <f t="shared" si="3"/>
        <v>0</v>
      </c>
      <c r="AL17" s="312"/>
      <c r="AM17" s="468">
        <v>0</v>
      </c>
      <c r="AN17" s="312"/>
      <c r="AO17" s="468">
        <v>0</v>
      </c>
      <c r="AP17" s="312"/>
      <c r="AQ17" s="468">
        <f t="shared" si="4"/>
        <v>0</v>
      </c>
      <c r="AR17" s="312"/>
      <c r="AS17" s="468">
        <f t="shared" si="5"/>
        <v>0</v>
      </c>
      <c r="AT17" s="312"/>
      <c r="AU17" s="468">
        <v>0</v>
      </c>
      <c r="AV17" s="312"/>
      <c r="AW17" s="468">
        <v>0</v>
      </c>
      <c r="AX17" s="312"/>
      <c r="AY17" s="468">
        <f t="shared" si="6"/>
        <v>1450</v>
      </c>
      <c r="BA17" s="537">
        <f t="shared" si="7"/>
        <v>1450</v>
      </c>
      <c r="BB17" s="512">
        <f t="shared" si="8"/>
        <v>0</v>
      </c>
      <c r="BC17" s="533">
        <f t="shared" si="9"/>
        <v>1450</v>
      </c>
    </row>
    <row r="18" spans="1:55" ht="15.75" thickBot="1" x14ac:dyDescent="0.3">
      <c r="A18" s="485"/>
      <c r="B18" s="485"/>
      <c r="C18" s="485"/>
      <c r="D18" s="485"/>
      <c r="E18" s="485" t="s">
        <v>207</v>
      </c>
      <c r="F18" s="485"/>
      <c r="G18" s="313">
        <v>0</v>
      </c>
      <c r="H18" s="312"/>
      <c r="I18" s="313">
        <v>0</v>
      </c>
      <c r="J18" s="312"/>
      <c r="K18" s="313">
        <f t="shared" si="0"/>
        <v>0</v>
      </c>
      <c r="L18" s="312"/>
      <c r="M18" s="313">
        <v>0</v>
      </c>
      <c r="N18" s="312"/>
      <c r="O18" s="313">
        <v>0</v>
      </c>
      <c r="P18" s="312"/>
      <c r="Q18" s="313">
        <v>0</v>
      </c>
      <c r="R18" s="312"/>
      <c r="S18" s="313">
        <v>3000</v>
      </c>
      <c r="T18" s="312"/>
      <c r="U18" s="313">
        <v>75000</v>
      </c>
      <c r="V18" s="312"/>
      <c r="W18" s="313">
        <v>0</v>
      </c>
      <c r="X18" s="312"/>
      <c r="Y18" s="313">
        <f t="shared" si="1"/>
        <v>78000</v>
      </c>
      <c r="Z18" s="312"/>
      <c r="AA18" s="313">
        <v>0</v>
      </c>
      <c r="AB18" s="312"/>
      <c r="AC18" s="313">
        <v>11430</v>
      </c>
      <c r="AD18" s="312"/>
      <c r="AE18" s="313">
        <f t="shared" si="2"/>
        <v>11430</v>
      </c>
      <c r="AF18" s="312"/>
      <c r="AG18" s="313">
        <v>0</v>
      </c>
      <c r="AH18" s="312"/>
      <c r="AI18" s="313">
        <v>0</v>
      </c>
      <c r="AJ18" s="312"/>
      <c r="AK18" s="313">
        <f t="shared" si="3"/>
        <v>11430</v>
      </c>
      <c r="AL18" s="312"/>
      <c r="AM18" s="313">
        <v>0</v>
      </c>
      <c r="AN18" s="312"/>
      <c r="AO18" s="313">
        <v>0</v>
      </c>
      <c r="AP18" s="312"/>
      <c r="AQ18" s="313">
        <f t="shared" si="4"/>
        <v>0</v>
      </c>
      <c r="AR18" s="312"/>
      <c r="AS18" s="313">
        <f t="shared" si="5"/>
        <v>89430</v>
      </c>
      <c r="AT18" s="312"/>
      <c r="AU18" s="313">
        <v>0</v>
      </c>
      <c r="AV18" s="312"/>
      <c r="AW18" s="313">
        <v>0</v>
      </c>
      <c r="AX18" s="312"/>
      <c r="AY18" s="313">
        <f t="shared" si="6"/>
        <v>89430</v>
      </c>
      <c r="BA18" s="538">
        <f t="shared" si="7"/>
        <v>11430</v>
      </c>
      <c r="BB18" s="504">
        <f>S18+U18+AQ18</f>
        <v>78000</v>
      </c>
      <c r="BC18" s="534">
        <f t="shared" si="9"/>
        <v>89430</v>
      </c>
    </row>
    <row r="19" spans="1:55" x14ac:dyDescent="0.25">
      <c r="A19" s="485"/>
      <c r="B19" s="485"/>
      <c r="C19" s="485"/>
      <c r="D19" s="485" t="s">
        <v>209</v>
      </c>
      <c r="E19" s="485"/>
      <c r="F19" s="485"/>
      <c r="G19" s="468">
        <f>ROUND(G8+SUM(G11:G18),5)</f>
        <v>357.04</v>
      </c>
      <c r="H19" s="312"/>
      <c r="I19" s="468">
        <f>ROUND(I8+SUM(I11:I18),5)</f>
        <v>12417.63</v>
      </c>
      <c r="J19" s="312"/>
      <c r="K19" s="468">
        <f t="shared" si="0"/>
        <v>12774.67</v>
      </c>
      <c r="L19" s="312"/>
      <c r="M19" s="468">
        <f>ROUND(M8+SUM(M11:M18),5)</f>
        <v>167213.57999999999</v>
      </c>
      <c r="N19" s="312"/>
      <c r="O19" s="468">
        <f>ROUND(O8+SUM(O11:O18),5)</f>
        <v>0</v>
      </c>
      <c r="P19" s="312"/>
      <c r="Q19" s="468">
        <f>ROUND(Q8+SUM(Q11:Q18),5)</f>
        <v>0</v>
      </c>
      <c r="R19" s="312"/>
      <c r="S19" s="468">
        <f>ROUND(S8+SUM(S11:S18),5)</f>
        <v>3000</v>
      </c>
      <c r="T19" s="312"/>
      <c r="U19" s="468">
        <f>ROUND(U8+SUM(U11:U18),5)</f>
        <v>75000</v>
      </c>
      <c r="V19" s="312"/>
      <c r="W19" s="468">
        <f>ROUND(W8+SUM(W11:W18),5)</f>
        <v>0</v>
      </c>
      <c r="X19" s="312"/>
      <c r="Y19" s="468">
        <f t="shared" si="1"/>
        <v>78000</v>
      </c>
      <c r="Z19" s="312"/>
      <c r="AA19" s="468">
        <f>ROUND(AA8+SUM(AA11:AA18),5)</f>
        <v>0</v>
      </c>
      <c r="AB19" s="312"/>
      <c r="AC19" s="468">
        <f>ROUND(AC8+SUM(AC11:AC18),5)</f>
        <v>11430</v>
      </c>
      <c r="AD19" s="312"/>
      <c r="AE19" s="468">
        <f t="shared" si="2"/>
        <v>11430</v>
      </c>
      <c r="AF19" s="312"/>
      <c r="AG19" s="468">
        <f>ROUND(AG8+SUM(AG11:AG18),5)</f>
        <v>0</v>
      </c>
      <c r="AH19" s="312"/>
      <c r="AI19" s="468">
        <f>ROUND(AI8+SUM(AI11:AI18),5)</f>
        <v>0</v>
      </c>
      <c r="AJ19" s="312"/>
      <c r="AK19" s="468">
        <f t="shared" si="3"/>
        <v>11430</v>
      </c>
      <c r="AL19" s="312"/>
      <c r="AM19" s="468">
        <f>ROUND(AM8+SUM(AM11:AM18),5)</f>
        <v>0</v>
      </c>
      <c r="AN19" s="312"/>
      <c r="AO19" s="468">
        <f>ROUND(AO8+SUM(AO11:AO18),5)</f>
        <v>46449.7</v>
      </c>
      <c r="AP19" s="312"/>
      <c r="AQ19" s="468">
        <f t="shared" si="4"/>
        <v>46449.7</v>
      </c>
      <c r="AR19" s="312"/>
      <c r="AS19" s="468">
        <f t="shared" si="5"/>
        <v>135879.70000000001</v>
      </c>
      <c r="AT19" s="312"/>
      <c r="AU19" s="468">
        <f>ROUND(AU8+SUM(AU11:AU18),5)</f>
        <v>0</v>
      </c>
      <c r="AV19" s="312"/>
      <c r="AW19" s="468">
        <f>ROUND(AW8+SUM(AW11:AW18),5)</f>
        <v>0</v>
      </c>
      <c r="AX19" s="312"/>
      <c r="AY19" s="468">
        <f t="shared" si="6"/>
        <v>315867.95</v>
      </c>
      <c r="BA19" s="537">
        <f t="shared" si="7"/>
        <v>191418.25</v>
      </c>
      <c r="BB19" s="512">
        <f>SUM(BB11:BB18)</f>
        <v>124449.7</v>
      </c>
      <c r="BC19" s="533">
        <f t="shared" si="9"/>
        <v>315867.95</v>
      </c>
    </row>
    <row r="20" spans="1:55" x14ac:dyDescent="0.25">
      <c r="A20" s="485"/>
      <c r="B20" s="485"/>
      <c r="C20" s="485"/>
      <c r="D20" s="485" t="s">
        <v>397</v>
      </c>
      <c r="E20" s="485"/>
      <c r="F20" s="485"/>
      <c r="G20" s="468"/>
      <c r="H20" s="312"/>
      <c r="I20" s="468"/>
      <c r="J20" s="312"/>
      <c r="K20" s="468"/>
      <c r="L20" s="312"/>
      <c r="M20" s="468"/>
      <c r="N20" s="312"/>
      <c r="O20" s="468"/>
      <c r="P20" s="312"/>
      <c r="Q20" s="468"/>
      <c r="R20" s="312"/>
      <c r="S20" s="468"/>
      <c r="T20" s="312"/>
      <c r="U20" s="468"/>
      <c r="V20" s="312"/>
      <c r="W20" s="468"/>
      <c r="X20" s="312"/>
      <c r="Y20" s="468"/>
      <c r="Z20" s="312"/>
      <c r="AA20" s="468"/>
      <c r="AB20" s="312"/>
      <c r="AC20" s="468"/>
      <c r="AD20" s="312"/>
      <c r="AE20" s="468"/>
      <c r="AF20" s="312"/>
      <c r="AG20" s="468"/>
      <c r="AH20" s="312"/>
      <c r="AI20" s="468"/>
      <c r="AJ20" s="312"/>
      <c r="AK20" s="468"/>
      <c r="AL20" s="312"/>
      <c r="AM20" s="468"/>
      <c r="AN20" s="312"/>
      <c r="AO20" s="468"/>
      <c r="AP20" s="312"/>
      <c r="AQ20" s="468"/>
      <c r="AR20" s="312"/>
      <c r="AS20" s="468"/>
      <c r="AT20" s="312"/>
      <c r="AU20" s="468"/>
      <c r="AV20" s="312"/>
      <c r="AW20" s="468"/>
      <c r="AX20" s="312"/>
      <c r="AY20" s="468"/>
      <c r="BA20" s="537"/>
      <c r="BB20" s="512"/>
      <c r="BC20" s="533"/>
    </row>
    <row r="21" spans="1:55" x14ac:dyDescent="0.25">
      <c r="A21" s="485"/>
      <c r="B21" s="485"/>
      <c r="C21" s="485"/>
      <c r="D21" s="485"/>
      <c r="E21" s="485" t="s">
        <v>398</v>
      </c>
      <c r="F21" s="485"/>
      <c r="G21" s="468">
        <v>0</v>
      </c>
      <c r="H21" s="312"/>
      <c r="I21" s="468">
        <v>0</v>
      </c>
      <c r="J21" s="312"/>
      <c r="K21" s="468">
        <f t="shared" ref="K21:K29" si="10">ROUND(SUM(G21:I21),5)</f>
        <v>0</v>
      </c>
      <c r="L21" s="312"/>
      <c r="M21" s="468">
        <v>0</v>
      </c>
      <c r="N21" s="312"/>
      <c r="O21" s="468">
        <v>0</v>
      </c>
      <c r="P21" s="312"/>
      <c r="Q21" s="468">
        <v>809.83</v>
      </c>
      <c r="R21" s="312"/>
      <c r="S21" s="468">
        <v>0</v>
      </c>
      <c r="T21" s="312"/>
      <c r="U21" s="468">
        <v>0</v>
      </c>
      <c r="V21" s="312"/>
      <c r="W21" s="468">
        <v>0</v>
      </c>
      <c r="X21" s="312"/>
      <c r="Y21" s="468">
        <f t="shared" ref="Y21:Y29" si="11">ROUND(SUM(O21:W21),5)</f>
        <v>809.83</v>
      </c>
      <c r="Z21" s="312"/>
      <c r="AA21" s="468">
        <v>0</v>
      </c>
      <c r="AB21" s="312"/>
      <c r="AC21" s="468">
        <v>0</v>
      </c>
      <c r="AD21" s="312"/>
      <c r="AE21" s="468">
        <f t="shared" ref="AE21:AE29" si="12">ROUND(SUM(AA21:AC21),5)</f>
        <v>0</v>
      </c>
      <c r="AF21" s="312"/>
      <c r="AG21" s="468">
        <v>0</v>
      </c>
      <c r="AH21" s="312"/>
      <c r="AI21" s="468">
        <v>120</v>
      </c>
      <c r="AJ21" s="312"/>
      <c r="AK21" s="468">
        <f t="shared" ref="AK21:AK29" si="13">ROUND(SUM(AE21:AI21),5)</f>
        <v>120</v>
      </c>
      <c r="AL21" s="312"/>
      <c r="AM21" s="468">
        <v>0</v>
      </c>
      <c r="AN21" s="312"/>
      <c r="AO21" s="468">
        <v>0</v>
      </c>
      <c r="AP21" s="312"/>
      <c r="AQ21" s="468">
        <f t="shared" ref="AQ21:AQ29" si="14">ROUND(SUM(AM21:AO21),5)</f>
        <v>0</v>
      </c>
      <c r="AR21" s="312"/>
      <c r="AS21" s="468">
        <f t="shared" ref="AS21:AS29" si="15">ROUND(Y21+AK21+AQ21,5)</f>
        <v>929.83</v>
      </c>
      <c r="AT21" s="312"/>
      <c r="AU21" s="468">
        <v>0</v>
      </c>
      <c r="AV21" s="312"/>
      <c r="AW21" s="468">
        <v>0</v>
      </c>
      <c r="AX21" s="312"/>
      <c r="AY21" s="468">
        <f t="shared" ref="AY21:AY29" si="16">ROUND(SUM(K21:M21)+SUM(AS21:AW21),5)</f>
        <v>929.83</v>
      </c>
      <c r="BA21" s="537">
        <f t="shared" si="7"/>
        <v>929.83</v>
      </c>
      <c r="BB21" s="512">
        <f t="shared" si="8"/>
        <v>0</v>
      </c>
      <c r="BC21" s="533">
        <f t="shared" si="9"/>
        <v>929.83</v>
      </c>
    </row>
    <row r="22" spans="1:55" x14ac:dyDescent="0.25">
      <c r="A22" s="485"/>
      <c r="B22" s="485"/>
      <c r="C22" s="485"/>
      <c r="D22" s="485"/>
      <c r="E22" s="485" t="s">
        <v>211</v>
      </c>
      <c r="F22" s="485"/>
      <c r="G22" s="468">
        <v>0</v>
      </c>
      <c r="H22" s="312"/>
      <c r="I22" s="468">
        <v>0</v>
      </c>
      <c r="J22" s="312"/>
      <c r="K22" s="468">
        <f t="shared" si="10"/>
        <v>0</v>
      </c>
      <c r="L22" s="312"/>
      <c r="M22" s="468">
        <v>100</v>
      </c>
      <c r="N22" s="312"/>
      <c r="O22" s="468">
        <v>0</v>
      </c>
      <c r="P22" s="312"/>
      <c r="Q22" s="468">
        <v>59.6</v>
      </c>
      <c r="R22" s="312"/>
      <c r="S22" s="468">
        <v>0</v>
      </c>
      <c r="T22" s="312"/>
      <c r="U22" s="468">
        <v>0</v>
      </c>
      <c r="V22" s="312"/>
      <c r="W22" s="468">
        <v>0</v>
      </c>
      <c r="X22" s="312"/>
      <c r="Y22" s="468">
        <f t="shared" si="11"/>
        <v>59.6</v>
      </c>
      <c r="Z22" s="312"/>
      <c r="AA22" s="468">
        <v>0</v>
      </c>
      <c r="AB22" s="312"/>
      <c r="AC22" s="468">
        <v>0</v>
      </c>
      <c r="AD22" s="312"/>
      <c r="AE22" s="468">
        <f t="shared" si="12"/>
        <v>0</v>
      </c>
      <c r="AF22" s="312"/>
      <c r="AG22" s="468">
        <v>0</v>
      </c>
      <c r="AH22" s="312"/>
      <c r="AI22" s="468">
        <v>2698.5</v>
      </c>
      <c r="AJ22" s="312"/>
      <c r="AK22" s="468">
        <f t="shared" si="13"/>
        <v>2698.5</v>
      </c>
      <c r="AL22" s="312"/>
      <c r="AM22" s="468">
        <v>0</v>
      </c>
      <c r="AN22" s="312"/>
      <c r="AO22" s="468">
        <v>1092.77</v>
      </c>
      <c r="AP22" s="312"/>
      <c r="AQ22" s="468">
        <f t="shared" si="14"/>
        <v>1092.77</v>
      </c>
      <c r="AR22" s="312"/>
      <c r="AS22" s="468">
        <f t="shared" si="15"/>
        <v>3850.87</v>
      </c>
      <c r="AT22" s="312"/>
      <c r="AU22" s="468">
        <v>0</v>
      </c>
      <c r="AV22" s="312"/>
      <c r="AW22" s="468">
        <v>0</v>
      </c>
      <c r="AX22" s="312"/>
      <c r="AY22" s="468">
        <f t="shared" si="16"/>
        <v>3950.87</v>
      </c>
      <c r="BA22" s="537">
        <f t="shared" si="7"/>
        <v>2858.1</v>
      </c>
      <c r="BB22" s="512">
        <f t="shared" si="8"/>
        <v>1092.77</v>
      </c>
      <c r="BC22" s="533">
        <f t="shared" si="9"/>
        <v>3950.87</v>
      </c>
    </row>
    <row r="23" spans="1:55" x14ac:dyDescent="0.25">
      <c r="A23" s="485"/>
      <c r="B23" s="485"/>
      <c r="C23" s="485"/>
      <c r="D23" s="485"/>
      <c r="E23" s="485" t="s">
        <v>212</v>
      </c>
      <c r="F23" s="485"/>
      <c r="G23" s="468">
        <v>0</v>
      </c>
      <c r="H23" s="312"/>
      <c r="I23" s="468">
        <v>0</v>
      </c>
      <c r="J23" s="312"/>
      <c r="K23" s="468">
        <f t="shared" si="10"/>
        <v>0</v>
      </c>
      <c r="L23" s="312"/>
      <c r="M23" s="468">
        <v>-42.5</v>
      </c>
      <c r="N23" s="312"/>
      <c r="O23" s="468">
        <v>0</v>
      </c>
      <c r="P23" s="312"/>
      <c r="Q23" s="468">
        <v>0</v>
      </c>
      <c r="R23" s="312"/>
      <c r="S23" s="468">
        <v>0</v>
      </c>
      <c r="T23" s="312"/>
      <c r="U23" s="468">
        <v>0</v>
      </c>
      <c r="V23" s="312"/>
      <c r="W23" s="468">
        <v>0</v>
      </c>
      <c r="X23" s="312"/>
      <c r="Y23" s="468">
        <f t="shared" si="11"/>
        <v>0</v>
      </c>
      <c r="Z23" s="312"/>
      <c r="AA23" s="468">
        <v>0</v>
      </c>
      <c r="AB23" s="312"/>
      <c r="AC23" s="468">
        <v>0</v>
      </c>
      <c r="AD23" s="312"/>
      <c r="AE23" s="468">
        <f t="shared" si="12"/>
        <v>0</v>
      </c>
      <c r="AF23" s="312"/>
      <c r="AG23" s="468">
        <v>0</v>
      </c>
      <c r="AH23" s="312"/>
      <c r="AI23" s="468">
        <v>112.5</v>
      </c>
      <c r="AJ23" s="312"/>
      <c r="AK23" s="468">
        <f t="shared" si="13"/>
        <v>112.5</v>
      </c>
      <c r="AL23" s="312"/>
      <c r="AM23" s="468">
        <v>0</v>
      </c>
      <c r="AN23" s="312"/>
      <c r="AO23" s="468">
        <v>-124.37</v>
      </c>
      <c r="AP23" s="312"/>
      <c r="AQ23" s="468">
        <f t="shared" si="14"/>
        <v>-124.37</v>
      </c>
      <c r="AR23" s="312"/>
      <c r="AS23" s="468">
        <f t="shared" si="15"/>
        <v>-11.87</v>
      </c>
      <c r="AT23" s="312"/>
      <c r="AU23" s="468">
        <v>0</v>
      </c>
      <c r="AV23" s="312"/>
      <c r="AW23" s="468">
        <v>0</v>
      </c>
      <c r="AX23" s="312"/>
      <c r="AY23" s="468">
        <f t="shared" si="16"/>
        <v>-54.37</v>
      </c>
      <c r="BA23" s="537">
        <f t="shared" si="7"/>
        <v>70</v>
      </c>
      <c r="BB23" s="512">
        <f t="shared" si="8"/>
        <v>-124.37</v>
      </c>
      <c r="BC23" s="533">
        <f t="shared" si="9"/>
        <v>-54.370000000000005</v>
      </c>
    </row>
    <row r="24" spans="1:55" ht="15.75" thickBot="1" x14ac:dyDescent="0.3">
      <c r="A24" s="485"/>
      <c r="B24" s="485"/>
      <c r="C24" s="485"/>
      <c r="D24" s="485"/>
      <c r="E24" s="485" t="s">
        <v>399</v>
      </c>
      <c r="F24" s="485"/>
      <c r="G24" s="313">
        <v>0</v>
      </c>
      <c r="H24" s="312"/>
      <c r="I24" s="313">
        <v>0</v>
      </c>
      <c r="J24" s="312"/>
      <c r="K24" s="313">
        <f t="shared" si="10"/>
        <v>0</v>
      </c>
      <c r="L24" s="312"/>
      <c r="M24" s="313">
        <v>0</v>
      </c>
      <c r="N24" s="312"/>
      <c r="O24" s="313">
        <v>0</v>
      </c>
      <c r="P24" s="312"/>
      <c r="Q24" s="313">
        <v>0</v>
      </c>
      <c r="R24" s="312"/>
      <c r="S24" s="313">
        <v>0</v>
      </c>
      <c r="T24" s="312"/>
      <c r="U24" s="313">
        <v>0</v>
      </c>
      <c r="V24" s="312"/>
      <c r="W24" s="313">
        <v>0</v>
      </c>
      <c r="X24" s="312"/>
      <c r="Y24" s="313">
        <f t="shared" si="11"/>
        <v>0</v>
      </c>
      <c r="Z24" s="312"/>
      <c r="AA24" s="313">
        <v>0</v>
      </c>
      <c r="AB24" s="312"/>
      <c r="AC24" s="313">
        <v>0</v>
      </c>
      <c r="AD24" s="312"/>
      <c r="AE24" s="313">
        <f t="shared" si="12"/>
        <v>0</v>
      </c>
      <c r="AF24" s="312"/>
      <c r="AG24" s="313">
        <v>0</v>
      </c>
      <c r="AH24" s="312"/>
      <c r="AI24" s="313">
        <v>5000</v>
      </c>
      <c r="AJ24" s="312"/>
      <c r="AK24" s="313">
        <f t="shared" si="13"/>
        <v>5000</v>
      </c>
      <c r="AL24" s="312"/>
      <c r="AM24" s="313">
        <v>0</v>
      </c>
      <c r="AN24" s="312"/>
      <c r="AO24" s="313">
        <v>23800</v>
      </c>
      <c r="AP24" s="312"/>
      <c r="AQ24" s="313">
        <f t="shared" si="14"/>
        <v>23800</v>
      </c>
      <c r="AR24" s="312"/>
      <c r="AS24" s="313">
        <f t="shared" si="15"/>
        <v>28800</v>
      </c>
      <c r="AT24" s="312"/>
      <c r="AU24" s="313">
        <v>0</v>
      </c>
      <c r="AV24" s="312"/>
      <c r="AW24" s="313">
        <v>0</v>
      </c>
      <c r="AX24" s="312"/>
      <c r="AY24" s="313">
        <f t="shared" si="16"/>
        <v>28800</v>
      </c>
      <c r="BA24" s="538">
        <f t="shared" si="7"/>
        <v>5000</v>
      </c>
      <c r="BB24" s="504">
        <f t="shared" si="8"/>
        <v>23800</v>
      </c>
      <c r="BC24" s="534">
        <f t="shared" si="9"/>
        <v>28800</v>
      </c>
    </row>
    <row r="25" spans="1:55" x14ac:dyDescent="0.25">
      <c r="A25" s="485"/>
      <c r="B25" s="485"/>
      <c r="C25" s="485"/>
      <c r="D25" s="485" t="s">
        <v>400</v>
      </c>
      <c r="E25" s="485"/>
      <c r="F25" s="485"/>
      <c r="G25" s="468">
        <f>ROUND(SUM(G20:G24),5)</f>
        <v>0</v>
      </c>
      <c r="H25" s="312"/>
      <c r="I25" s="468">
        <f>ROUND(SUM(I20:I24),5)</f>
        <v>0</v>
      </c>
      <c r="J25" s="312"/>
      <c r="K25" s="468">
        <f t="shared" si="10"/>
        <v>0</v>
      </c>
      <c r="L25" s="312"/>
      <c r="M25" s="468">
        <f>ROUND(SUM(M20:M24),5)</f>
        <v>57.5</v>
      </c>
      <c r="N25" s="312"/>
      <c r="O25" s="468">
        <f>ROUND(SUM(O20:O24),5)</f>
        <v>0</v>
      </c>
      <c r="P25" s="312"/>
      <c r="Q25" s="468">
        <f>ROUND(SUM(Q20:Q24),5)</f>
        <v>869.43</v>
      </c>
      <c r="R25" s="312"/>
      <c r="S25" s="468">
        <f>ROUND(SUM(S20:S24),5)</f>
        <v>0</v>
      </c>
      <c r="T25" s="312"/>
      <c r="U25" s="468">
        <f>ROUND(SUM(U20:U24),5)</f>
        <v>0</v>
      </c>
      <c r="V25" s="312"/>
      <c r="W25" s="468">
        <f>ROUND(SUM(W20:W24),5)</f>
        <v>0</v>
      </c>
      <c r="X25" s="312"/>
      <c r="Y25" s="468">
        <f t="shared" si="11"/>
        <v>869.43</v>
      </c>
      <c r="Z25" s="312"/>
      <c r="AA25" s="468">
        <f>ROUND(SUM(AA20:AA24),5)</f>
        <v>0</v>
      </c>
      <c r="AB25" s="312"/>
      <c r="AC25" s="468">
        <f>ROUND(SUM(AC20:AC24),5)</f>
        <v>0</v>
      </c>
      <c r="AD25" s="312"/>
      <c r="AE25" s="468">
        <f t="shared" si="12"/>
        <v>0</v>
      </c>
      <c r="AF25" s="312"/>
      <c r="AG25" s="468">
        <f>ROUND(SUM(AG20:AG24),5)</f>
        <v>0</v>
      </c>
      <c r="AH25" s="312"/>
      <c r="AI25" s="468">
        <f>ROUND(SUM(AI20:AI24),5)</f>
        <v>7931</v>
      </c>
      <c r="AJ25" s="312"/>
      <c r="AK25" s="468">
        <f t="shared" si="13"/>
        <v>7931</v>
      </c>
      <c r="AL25" s="312"/>
      <c r="AM25" s="468">
        <f>ROUND(SUM(AM20:AM24),5)</f>
        <v>0</v>
      </c>
      <c r="AN25" s="312"/>
      <c r="AO25" s="468">
        <f>ROUND(SUM(AO20:AO24),5)</f>
        <v>24768.400000000001</v>
      </c>
      <c r="AP25" s="312"/>
      <c r="AQ25" s="468">
        <f t="shared" si="14"/>
        <v>24768.400000000001</v>
      </c>
      <c r="AR25" s="312"/>
      <c r="AS25" s="468">
        <f t="shared" si="15"/>
        <v>33568.83</v>
      </c>
      <c r="AT25" s="312"/>
      <c r="AU25" s="468">
        <f>ROUND(SUM(AU20:AU24),5)</f>
        <v>0</v>
      </c>
      <c r="AV25" s="312"/>
      <c r="AW25" s="468">
        <f>ROUND(SUM(AW20:AW24),5)</f>
        <v>0</v>
      </c>
      <c r="AX25" s="312"/>
      <c r="AY25" s="468">
        <f t="shared" si="16"/>
        <v>33626.33</v>
      </c>
      <c r="BA25" s="537">
        <f t="shared" si="7"/>
        <v>8857.93</v>
      </c>
      <c r="BB25" s="512">
        <f t="shared" si="8"/>
        <v>24768.400000000001</v>
      </c>
      <c r="BC25" s="533">
        <f t="shared" si="9"/>
        <v>33626.33</v>
      </c>
    </row>
    <row r="26" spans="1:55" x14ac:dyDescent="0.25">
      <c r="A26" s="485"/>
      <c r="B26" s="485"/>
      <c r="C26" s="485"/>
      <c r="D26" s="485" t="s">
        <v>401</v>
      </c>
      <c r="E26" s="485"/>
      <c r="F26" s="485"/>
      <c r="G26" s="468">
        <v>0</v>
      </c>
      <c r="H26" s="312"/>
      <c r="I26" s="468">
        <v>1925</v>
      </c>
      <c r="J26" s="312"/>
      <c r="K26" s="468">
        <f t="shared" si="10"/>
        <v>1925</v>
      </c>
      <c r="L26" s="312"/>
      <c r="M26" s="468">
        <v>0</v>
      </c>
      <c r="N26" s="312"/>
      <c r="O26" s="468">
        <v>0</v>
      </c>
      <c r="P26" s="312"/>
      <c r="Q26" s="468">
        <v>0</v>
      </c>
      <c r="R26" s="312"/>
      <c r="S26" s="468">
        <v>0</v>
      </c>
      <c r="T26" s="312"/>
      <c r="U26" s="468">
        <v>0</v>
      </c>
      <c r="V26" s="312"/>
      <c r="W26" s="468">
        <v>0</v>
      </c>
      <c r="X26" s="312"/>
      <c r="Y26" s="468">
        <f t="shared" si="11"/>
        <v>0</v>
      </c>
      <c r="Z26" s="312"/>
      <c r="AA26" s="468">
        <v>0</v>
      </c>
      <c r="AB26" s="312"/>
      <c r="AC26" s="468">
        <v>0</v>
      </c>
      <c r="AD26" s="312"/>
      <c r="AE26" s="468">
        <f t="shared" si="12"/>
        <v>0</v>
      </c>
      <c r="AF26" s="312"/>
      <c r="AG26" s="468">
        <v>0</v>
      </c>
      <c r="AH26" s="312"/>
      <c r="AI26" s="468">
        <v>0</v>
      </c>
      <c r="AJ26" s="312"/>
      <c r="AK26" s="468">
        <f t="shared" si="13"/>
        <v>0</v>
      </c>
      <c r="AL26" s="312"/>
      <c r="AM26" s="468">
        <v>0</v>
      </c>
      <c r="AN26" s="312"/>
      <c r="AO26" s="468">
        <v>0</v>
      </c>
      <c r="AP26" s="312"/>
      <c r="AQ26" s="468">
        <f t="shared" si="14"/>
        <v>0</v>
      </c>
      <c r="AR26" s="312"/>
      <c r="AS26" s="468">
        <f t="shared" si="15"/>
        <v>0</v>
      </c>
      <c r="AT26" s="312"/>
      <c r="AU26" s="468">
        <v>0</v>
      </c>
      <c r="AV26" s="312"/>
      <c r="AW26" s="468">
        <v>0</v>
      </c>
      <c r="AX26" s="312"/>
      <c r="AY26" s="468">
        <f t="shared" si="16"/>
        <v>1925</v>
      </c>
      <c r="BA26" s="537">
        <f t="shared" si="7"/>
        <v>1925</v>
      </c>
      <c r="BB26" s="512">
        <f t="shared" si="8"/>
        <v>0</v>
      </c>
      <c r="BC26" s="533">
        <f t="shared" si="9"/>
        <v>1925</v>
      </c>
    </row>
    <row r="27" spans="1:55" x14ac:dyDescent="0.25">
      <c r="A27" s="485"/>
      <c r="B27" s="485"/>
      <c r="C27" s="485"/>
      <c r="D27" s="485" t="s">
        <v>163</v>
      </c>
      <c r="E27" s="485"/>
      <c r="F27" s="485"/>
      <c r="G27" s="468">
        <v>0</v>
      </c>
      <c r="H27" s="312"/>
      <c r="I27" s="468">
        <v>-24.08</v>
      </c>
      <c r="J27" s="312"/>
      <c r="K27" s="468">
        <f t="shared" si="10"/>
        <v>-24.08</v>
      </c>
      <c r="L27" s="312"/>
      <c r="M27" s="468">
        <v>0</v>
      </c>
      <c r="N27" s="312"/>
      <c r="O27" s="468">
        <v>0</v>
      </c>
      <c r="P27" s="312"/>
      <c r="Q27" s="468">
        <v>0</v>
      </c>
      <c r="R27" s="312"/>
      <c r="S27" s="468">
        <v>0</v>
      </c>
      <c r="T27" s="312"/>
      <c r="U27" s="468">
        <v>0</v>
      </c>
      <c r="V27" s="312"/>
      <c r="W27" s="468">
        <v>0</v>
      </c>
      <c r="X27" s="312"/>
      <c r="Y27" s="468">
        <f t="shared" si="11"/>
        <v>0</v>
      </c>
      <c r="Z27" s="312"/>
      <c r="AA27" s="468">
        <v>0</v>
      </c>
      <c r="AB27" s="312"/>
      <c r="AC27" s="468">
        <v>0</v>
      </c>
      <c r="AD27" s="312"/>
      <c r="AE27" s="468">
        <f t="shared" si="12"/>
        <v>0</v>
      </c>
      <c r="AF27" s="312"/>
      <c r="AG27" s="468">
        <v>0</v>
      </c>
      <c r="AH27" s="312"/>
      <c r="AI27" s="468">
        <v>0</v>
      </c>
      <c r="AJ27" s="312"/>
      <c r="AK27" s="468">
        <f t="shared" si="13"/>
        <v>0</v>
      </c>
      <c r="AL27" s="312"/>
      <c r="AM27" s="468">
        <v>0</v>
      </c>
      <c r="AN27" s="312"/>
      <c r="AO27" s="468">
        <v>0</v>
      </c>
      <c r="AP27" s="312"/>
      <c r="AQ27" s="468">
        <f t="shared" si="14"/>
        <v>0</v>
      </c>
      <c r="AR27" s="312"/>
      <c r="AS27" s="468">
        <f t="shared" si="15"/>
        <v>0</v>
      </c>
      <c r="AT27" s="312"/>
      <c r="AU27" s="468">
        <v>0</v>
      </c>
      <c r="AV27" s="312"/>
      <c r="AW27" s="468">
        <v>0</v>
      </c>
      <c r="AX27" s="312"/>
      <c r="AY27" s="468">
        <f t="shared" si="16"/>
        <v>-24.08</v>
      </c>
      <c r="BA27" s="537">
        <f t="shared" si="7"/>
        <v>-24.08</v>
      </c>
      <c r="BB27" s="512">
        <f t="shared" si="8"/>
        <v>0</v>
      </c>
      <c r="BC27" s="533">
        <f t="shared" si="9"/>
        <v>-24.08</v>
      </c>
    </row>
    <row r="28" spans="1:55" ht="15.75" thickBot="1" x14ac:dyDescent="0.3">
      <c r="A28" s="485"/>
      <c r="B28" s="485"/>
      <c r="C28" s="485"/>
      <c r="D28" s="485" t="s">
        <v>402</v>
      </c>
      <c r="E28" s="485"/>
      <c r="F28" s="485"/>
      <c r="G28" s="313">
        <v>0</v>
      </c>
      <c r="H28" s="312"/>
      <c r="I28" s="313">
        <v>0</v>
      </c>
      <c r="J28" s="312"/>
      <c r="K28" s="313">
        <f t="shared" si="10"/>
        <v>0</v>
      </c>
      <c r="L28" s="312"/>
      <c r="M28" s="313">
        <v>0</v>
      </c>
      <c r="N28" s="312"/>
      <c r="O28" s="313">
        <v>0</v>
      </c>
      <c r="P28" s="312"/>
      <c r="Q28" s="313">
        <v>122.06</v>
      </c>
      <c r="R28" s="312"/>
      <c r="S28" s="313">
        <v>0</v>
      </c>
      <c r="T28" s="312"/>
      <c r="U28" s="313">
        <v>0</v>
      </c>
      <c r="V28" s="312"/>
      <c r="W28" s="313">
        <v>0</v>
      </c>
      <c r="X28" s="312"/>
      <c r="Y28" s="313">
        <f t="shared" si="11"/>
        <v>122.06</v>
      </c>
      <c r="Z28" s="312"/>
      <c r="AA28" s="313">
        <v>0</v>
      </c>
      <c r="AB28" s="312"/>
      <c r="AC28" s="313">
        <v>0</v>
      </c>
      <c r="AD28" s="312"/>
      <c r="AE28" s="313">
        <f t="shared" si="12"/>
        <v>0</v>
      </c>
      <c r="AF28" s="312"/>
      <c r="AG28" s="313">
        <v>0</v>
      </c>
      <c r="AH28" s="312"/>
      <c r="AI28" s="313">
        <v>50</v>
      </c>
      <c r="AJ28" s="312"/>
      <c r="AK28" s="313">
        <f t="shared" si="13"/>
        <v>50</v>
      </c>
      <c r="AL28" s="312"/>
      <c r="AM28" s="313">
        <v>0</v>
      </c>
      <c r="AN28" s="312"/>
      <c r="AO28" s="313">
        <v>0</v>
      </c>
      <c r="AP28" s="312"/>
      <c r="AQ28" s="313">
        <f t="shared" si="14"/>
        <v>0</v>
      </c>
      <c r="AR28" s="312"/>
      <c r="AS28" s="313">
        <f t="shared" si="15"/>
        <v>172.06</v>
      </c>
      <c r="AT28" s="312"/>
      <c r="AU28" s="313">
        <v>0</v>
      </c>
      <c r="AV28" s="312"/>
      <c r="AW28" s="313">
        <v>0</v>
      </c>
      <c r="AX28" s="312"/>
      <c r="AY28" s="313">
        <f t="shared" si="16"/>
        <v>172.06</v>
      </c>
      <c r="BA28" s="538">
        <f t="shared" si="7"/>
        <v>172.06</v>
      </c>
      <c r="BB28" s="504">
        <f t="shared" si="8"/>
        <v>0</v>
      </c>
      <c r="BC28" s="534">
        <f t="shared" si="9"/>
        <v>172.06</v>
      </c>
    </row>
    <row r="29" spans="1:55" x14ac:dyDescent="0.25">
      <c r="A29" s="485"/>
      <c r="B29" s="485"/>
      <c r="C29" s="485" t="s">
        <v>9</v>
      </c>
      <c r="D29" s="485"/>
      <c r="E29" s="485"/>
      <c r="F29" s="485"/>
      <c r="G29" s="468">
        <f>ROUND(G7+G19+SUM(G25:G28),5)</f>
        <v>357.04</v>
      </c>
      <c r="H29" s="312"/>
      <c r="I29" s="468">
        <f>ROUND(I7+I19+SUM(I25:I28),5)</f>
        <v>14318.55</v>
      </c>
      <c r="J29" s="312"/>
      <c r="K29" s="468">
        <f t="shared" si="10"/>
        <v>14675.59</v>
      </c>
      <c r="L29" s="312"/>
      <c r="M29" s="468">
        <f>ROUND(M7+M19+SUM(M25:M28),5)</f>
        <v>167271.07999999999</v>
      </c>
      <c r="N29" s="312"/>
      <c r="O29" s="468">
        <f>ROUND(O7+O19+SUM(O25:O28),5)</f>
        <v>0</v>
      </c>
      <c r="P29" s="312"/>
      <c r="Q29" s="468">
        <f>ROUND(Q7+Q19+SUM(Q25:Q28),5)</f>
        <v>991.49</v>
      </c>
      <c r="R29" s="312"/>
      <c r="S29" s="468">
        <f>ROUND(S7+S19+SUM(S25:S28),5)</f>
        <v>3000</v>
      </c>
      <c r="T29" s="312"/>
      <c r="U29" s="468">
        <f>ROUND(U7+U19+SUM(U25:U28),5)</f>
        <v>75000</v>
      </c>
      <c r="V29" s="312"/>
      <c r="W29" s="468">
        <f>ROUND(W7+W19+SUM(W25:W28),5)</f>
        <v>0</v>
      </c>
      <c r="X29" s="312"/>
      <c r="Y29" s="468">
        <f t="shared" si="11"/>
        <v>78991.490000000005</v>
      </c>
      <c r="Z29" s="312"/>
      <c r="AA29" s="468">
        <f>ROUND(AA7+AA19+SUM(AA25:AA28),5)</f>
        <v>0</v>
      </c>
      <c r="AB29" s="312"/>
      <c r="AC29" s="468">
        <f>ROUND(AC7+AC19+SUM(AC25:AC28),5)</f>
        <v>11430</v>
      </c>
      <c r="AD29" s="312"/>
      <c r="AE29" s="468">
        <f t="shared" si="12"/>
        <v>11430</v>
      </c>
      <c r="AF29" s="312"/>
      <c r="AG29" s="468">
        <f>ROUND(AG7+AG19+SUM(AG25:AG28),5)</f>
        <v>0</v>
      </c>
      <c r="AH29" s="312"/>
      <c r="AI29" s="468">
        <f>ROUND(AI7+AI19+SUM(AI25:AI28),5)</f>
        <v>7981</v>
      </c>
      <c r="AJ29" s="312"/>
      <c r="AK29" s="468">
        <f t="shared" si="13"/>
        <v>19411</v>
      </c>
      <c r="AL29" s="312"/>
      <c r="AM29" s="468">
        <f>ROUND(AM7+AM19+SUM(AM25:AM28),5)</f>
        <v>0</v>
      </c>
      <c r="AN29" s="312"/>
      <c r="AO29" s="468">
        <f>ROUND(AO7+AO19+SUM(AO25:AO28),5)</f>
        <v>71218.100000000006</v>
      </c>
      <c r="AP29" s="312"/>
      <c r="AQ29" s="468">
        <f t="shared" si="14"/>
        <v>71218.100000000006</v>
      </c>
      <c r="AR29" s="312"/>
      <c r="AS29" s="468">
        <f t="shared" si="15"/>
        <v>169620.59</v>
      </c>
      <c r="AT29" s="312"/>
      <c r="AU29" s="468">
        <f>ROUND(AU7+AU19+SUM(AU25:AU28),5)</f>
        <v>0</v>
      </c>
      <c r="AV29" s="312"/>
      <c r="AW29" s="468">
        <f>ROUND(AW7+AW19+SUM(AW25:AW28),5)</f>
        <v>0</v>
      </c>
      <c r="AX29" s="312"/>
      <c r="AY29" s="468">
        <f t="shared" si="16"/>
        <v>351567.26</v>
      </c>
      <c r="BA29" s="537">
        <f>AY29-BB29</f>
        <v>202349.16</v>
      </c>
      <c r="BB29" s="512">
        <f t="shared" si="8"/>
        <v>149218.1</v>
      </c>
      <c r="BC29" s="533">
        <f t="shared" si="9"/>
        <v>351567.26</v>
      </c>
    </row>
    <row r="30" spans="1:55" x14ac:dyDescent="0.25">
      <c r="A30" s="485"/>
      <c r="B30" s="485"/>
      <c r="C30" s="485" t="s">
        <v>164</v>
      </c>
      <c r="D30" s="485"/>
      <c r="E30" s="485"/>
      <c r="F30" s="485"/>
      <c r="G30" s="468"/>
      <c r="H30" s="312"/>
      <c r="I30" s="468"/>
      <c r="J30" s="312"/>
      <c r="K30" s="468"/>
      <c r="L30" s="312"/>
      <c r="M30" s="468"/>
      <c r="N30" s="312"/>
      <c r="O30" s="468"/>
      <c r="P30" s="312"/>
      <c r="Q30" s="468"/>
      <c r="R30" s="312"/>
      <c r="S30" s="468"/>
      <c r="T30" s="312"/>
      <c r="U30" s="468"/>
      <c r="V30" s="312"/>
      <c r="W30" s="468"/>
      <c r="X30" s="312"/>
      <c r="Y30" s="468"/>
      <c r="Z30" s="312"/>
      <c r="AA30" s="468"/>
      <c r="AB30" s="312"/>
      <c r="AC30" s="468"/>
      <c r="AD30" s="312"/>
      <c r="AE30" s="468"/>
      <c r="AF30" s="312"/>
      <c r="AG30" s="468"/>
      <c r="AH30" s="312"/>
      <c r="AI30" s="468"/>
      <c r="AJ30" s="312"/>
      <c r="AK30" s="468"/>
      <c r="AL30" s="312"/>
      <c r="AM30" s="468"/>
      <c r="AN30" s="312"/>
      <c r="AO30" s="468"/>
      <c r="AP30" s="312"/>
      <c r="AQ30" s="468"/>
      <c r="AR30" s="312"/>
      <c r="AS30" s="468"/>
      <c r="AT30" s="312"/>
      <c r="AU30" s="468"/>
      <c r="AV30" s="312"/>
      <c r="AW30" s="468"/>
      <c r="AX30" s="312"/>
      <c r="AY30" s="468"/>
      <c r="BA30" s="537">
        <f t="shared" si="7"/>
        <v>0</v>
      </c>
      <c r="BB30" s="512">
        <f t="shared" si="8"/>
        <v>0</v>
      </c>
      <c r="BC30" s="533">
        <f t="shared" si="9"/>
        <v>0</v>
      </c>
    </row>
    <row r="31" spans="1:55" ht="15.75" thickBot="1" x14ac:dyDescent="0.3">
      <c r="A31" s="485"/>
      <c r="B31" s="485"/>
      <c r="C31" s="485"/>
      <c r="D31" s="485" t="s">
        <v>165</v>
      </c>
      <c r="E31" s="485"/>
      <c r="F31" s="485"/>
      <c r="G31" s="467">
        <v>0</v>
      </c>
      <c r="H31" s="312"/>
      <c r="I31" s="467">
        <v>0</v>
      </c>
      <c r="J31" s="312"/>
      <c r="K31" s="467">
        <f>ROUND(SUM(G31:I31),5)</f>
        <v>0</v>
      </c>
      <c r="L31" s="312"/>
      <c r="M31" s="467">
        <v>6.98</v>
      </c>
      <c r="N31" s="312"/>
      <c r="O31" s="467">
        <v>0</v>
      </c>
      <c r="P31" s="312"/>
      <c r="Q31" s="467">
        <v>0</v>
      </c>
      <c r="R31" s="312"/>
      <c r="S31" s="467">
        <v>0</v>
      </c>
      <c r="T31" s="312"/>
      <c r="U31" s="467">
        <v>0</v>
      </c>
      <c r="V31" s="312"/>
      <c r="W31" s="467">
        <v>0</v>
      </c>
      <c r="X31" s="312"/>
      <c r="Y31" s="467">
        <f>ROUND(SUM(O31:W31),5)</f>
        <v>0</v>
      </c>
      <c r="Z31" s="312"/>
      <c r="AA31" s="467">
        <v>0</v>
      </c>
      <c r="AB31" s="312"/>
      <c r="AC31" s="467">
        <v>0</v>
      </c>
      <c r="AD31" s="312"/>
      <c r="AE31" s="467">
        <f>ROUND(SUM(AA31:AC31),5)</f>
        <v>0</v>
      </c>
      <c r="AF31" s="312"/>
      <c r="AG31" s="467">
        <v>0</v>
      </c>
      <c r="AH31" s="312"/>
      <c r="AI31" s="467">
        <v>3151.18</v>
      </c>
      <c r="AJ31" s="312"/>
      <c r="AK31" s="467">
        <f>ROUND(SUM(AE31:AI31),5)</f>
        <v>3151.18</v>
      </c>
      <c r="AL31" s="312"/>
      <c r="AM31" s="467">
        <v>0</v>
      </c>
      <c r="AN31" s="312"/>
      <c r="AO31" s="467">
        <v>0</v>
      </c>
      <c r="AP31" s="312"/>
      <c r="AQ31" s="467">
        <f>ROUND(SUM(AM31:AO31),5)</f>
        <v>0</v>
      </c>
      <c r="AR31" s="312"/>
      <c r="AS31" s="467">
        <f>ROUND(Y31+AK31+AQ31,5)</f>
        <v>3151.18</v>
      </c>
      <c r="AT31" s="312"/>
      <c r="AU31" s="467">
        <v>0</v>
      </c>
      <c r="AV31" s="312"/>
      <c r="AW31" s="467">
        <v>0</v>
      </c>
      <c r="AX31" s="312"/>
      <c r="AY31" s="467">
        <f>ROUND(SUM(K31:M31)+SUM(AS31:AW31),5)</f>
        <v>3158.16</v>
      </c>
      <c r="BA31" s="537">
        <f t="shared" si="7"/>
        <v>3158.16</v>
      </c>
      <c r="BB31" s="512">
        <f t="shared" si="8"/>
        <v>0</v>
      </c>
      <c r="BC31" s="542">
        <f t="shared" si="9"/>
        <v>3158.16</v>
      </c>
    </row>
    <row r="32" spans="1:55" ht="15.75" thickBot="1" x14ac:dyDescent="0.3">
      <c r="A32" s="485"/>
      <c r="B32" s="485"/>
      <c r="C32" s="485" t="s">
        <v>166</v>
      </c>
      <c r="D32" s="485"/>
      <c r="E32" s="485"/>
      <c r="F32" s="485"/>
      <c r="G32" s="314">
        <f>ROUND(SUM(G30:G31),5)</f>
        <v>0</v>
      </c>
      <c r="H32" s="312"/>
      <c r="I32" s="314">
        <f>ROUND(SUM(I30:I31),5)</f>
        <v>0</v>
      </c>
      <c r="J32" s="312"/>
      <c r="K32" s="314">
        <f>ROUND(SUM(G32:I32),5)</f>
        <v>0</v>
      </c>
      <c r="L32" s="312"/>
      <c r="M32" s="314">
        <f>ROUND(SUM(M30:M31),5)</f>
        <v>6.98</v>
      </c>
      <c r="N32" s="312"/>
      <c r="O32" s="314">
        <f>ROUND(SUM(O30:O31),5)</f>
        <v>0</v>
      </c>
      <c r="P32" s="312"/>
      <c r="Q32" s="314">
        <f>ROUND(SUM(Q30:Q31),5)</f>
        <v>0</v>
      </c>
      <c r="R32" s="312"/>
      <c r="S32" s="314">
        <f>ROUND(SUM(S30:S31),5)</f>
        <v>0</v>
      </c>
      <c r="T32" s="312"/>
      <c r="U32" s="314">
        <f>ROUND(SUM(U30:U31),5)</f>
        <v>0</v>
      </c>
      <c r="V32" s="312"/>
      <c r="W32" s="314">
        <f>ROUND(SUM(W30:W31),5)</f>
        <v>0</v>
      </c>
      <c r="X32" s="312"/>
      <c r="Y32" s="314">
        <f>ROUND(SUM(O32:W32),5)</f>
        <v>0</v>
      </c>
      <c r="Z32" s="312"/>
      <c r="AA32" s="314">
        <f>ROUND(SUM(AA30:AA31),5)</f>
        <v>0</v>
      </c>
      <c r="AB32" s="312"/>
      <c r="AC32" s="314">
        <f>ROUND(SUM(AC30:AC31),5)</f>
        <v>0</v>
      </c>
      <c r="AD32" s="312"/>
      <c r="AE32" s="314">
        <f>ROUND(SUM(AA32:AC32),5)</f>
        <v>0</v>
      </c>
      <c r="AF32" s="312"/>
      <c r="AG32" s="314">
        <f>ROUND(SUM(AG30:AG31),5)</f>
        <v>0</v>
      </c>
      <c r="AH32" s="312"/>
      <c r="AI32" s="314">
        <f>ROUND(SUM(AI30:AI31),5)</f>
        <v>3151.18</v>
      </c>
      <c r="AJ32" s="312"/>
      <c r="AK32" s="314">
        <f>ROUND(SUM(AE32:AI32),5)</f>
        <v>3151.18</v>
      </c>
      <c r="AL32" s="312"/>
      <c r="AM32" s="314">
        <f>ROUND(SUM(AM30:AM31),5)</f>
        <v>0</v>
      </c>
      <c r="AN32" s="312"/>
      <c r="AO32" s="314">
        <f>ROUND(SUM(AO30:AO31),5)</f>
        <v>0</v>
      </c>
      <c r="AP32" s="312"/>
      <c r="AQ32" s="314">
        <f>ROUND(SUM(AM32:AO32),5)</f>
        <v>0</v>
      </c>
      <c r="AR32" s="312"/>
      <c r="AS32" s="314">
        <f>ROUND(Y32+AK32+AQ32,5)</f>
        <v>3151.18</v>
      </c>
      <c r="AT32" s="312"/>
      <c r="AU32" s="314">
        <f>ROUND(SUM(AU30:AU31),5)</f>
        <v>0</v>
      </c>
      <c r="AV32" s="312"/>
      <c r="AW32" s="314">
        <f>ROUND(SUM(AW30:AW31),5)</f>
        <v>0</v>
      </c>
      <c r="AX32" s="312"/>
      <c r="AY32" s="314">
        <f>ROUND(SUM(K32:M32)+SUM(AS32:AW32),5)</f>
        <v>3158.16</v>
      </c>
      <c r="BA32" s="559">
        <f t="shared" si="7"/>
        <v>3158.16</v>
      </c>
      <c r="BB32" s="560">
        <f t="shared" si="8"/>
        <v>0</v>
      </c>
      <c r="BC32" s="561">
        <f t="shared" si="9"/>
        <v>3158.16</v>
      </c>
    </row>
    <row r="33" spans="1:56" x14ac:dyDescent="0.25">
      <c r="A33" s="485"/>
      <c r="B33" s="485" t="s">
        <v>167</v>
      </c>
      <c r="C33" s="485"/>
      <c r="D33" s="485"/>
      <c r="E33" s="485"/>
      <c r="F33" s="485"/>
      <c r="G33" s="468">
        <f>ROUND(G29-G32,5)</f>
        <v>357.04</v>
      </c>
      <c r="H33" s="312"/>
      <c r="I33" s="468">
        <f>ROUND(I29-I32,5)</f>
        <v>14318.55</v>
      </c>
      <c r="J33" s="312"/>
      <c r="K33" s="468">
        <f>ROUND(SUM(G33:I33),5)</f>
        <v>14675.59</v>
      </c>
      <c r="L33" s="312"/>
      <c r="M33" s="468">
        <f>ROUND(M29-M32,5)</f>
        <v>167264.1</v>
      </c>
      <c r="N33" s="312"/>
      <c r="O33" s="468">
        <f>ROUND(O29-O32,5)</f>
        <v>0</v>
      </c>
      <c r="P33" s="312"/>
      <c r="Q33" s="468">
        <f>ROUND(Q29-Q32,5)</f>
        <v>991.49</v>
      </c>
      <c r="R33" s="312"/>
      <c r="S33" s="468">
        <f>ROUND(S29-S32,5)</f>
        <v>3000</v>
      </c>
      <c r="T33" s="312"/>
      <c r="U33" s="468">
        <f>ROUND(U29-U32,5)</f>
        <v>75000</v>
      </c>
      <c r="V33" s="312"/>
      <c r="W33" s="468">
        <f>ROUND(W29-W32,5)</f>
        <v>0</v>
      </c>
      <c r="X33" s="312"/>
      <c r="Y33" s="468">
        <f>ROUND(SUM(O33:W33),5)</f>
        <v>78991.490000000005</v>
      </c>
      <c r="Z33" s="312"/>
      <c r="AA33" s="468">
        <f>ROUND(AA29-AA32,5)</f>
        <v>0</v>
      </c>
      <c r="AB33" s="312"/>
      <c r="AC33" s="468">
        <f>ROUND(AC29-AC32,5)</f>
        <v>11430</v>
      </c>
      <c r="AD33" s="312"/>
      <c r="AE33" s="468">
        <f>ROUND(SUM(AA33:AC33),5)</f>
        <v>11430</v>
      </c>
      <c r="AF33" s="312"/>
      <c r="AG33" s="468">
        <f>ROUND(AG29-AG32,5)</f>
        <v>0</v>
      </c>
      <c r="AH33" s="312"/>
      <c r="AI33" s="468">
        <f>ROUND(AI29-AI32,5)</f>
        <v>4829.82</v>
      </c>
      <c r="AJ33" s="312"/>
      <c r="AK33" s="468">
        <f>ROUND(SUM(AE33:AI33),5)</f>
        <v>16259.82</v>
      </c>
      <c r="AL33" s="312"/>
      <c r="AM33" s="468">
        <f>ROUND(AM29-AM32,5)</f>
        <v>0</v>
      </c>
      <c r="AN33" s="312"/>
      <c r="AO33" s="468">
        <f>ROUND(AO29-AO32,5)</f>
        <v>71218.100000000006</v>
      </c>
      <c r="AP33" s="312"/>
      <c r="AQ33" s="468">
        <f>ROUND(SUM(AM33:AO33),5)</f>
        <v>71218.100000000006</v>
      </c>
      <c r="AR33" s="312"/>
      <c r="AS33" s="468">
        <f>ROUND(Y33+AK33+AQ33,5)</f>
        <v>166469.41</v>
      </c>
      <c r="AT33" s="312"/>
      <c r="AU33" s="468">
        <f>ROUND(AU29-AU32,5)</f>
        <v>0</v>
      </c>
      <c r="AV33" s="312"/>
      <c r="AW33" s="468">
        <f>ROUND(AW29-AW32,5)</f>
        <v>0</v>
      </c>
      <c r="AX33" s="312"/>
      <c r="AY33" s="468">
        <f>ROUND(SUM(K33:M33)+SUM(AS33:AW33),5)</f>
        <v>348409.1</v>
      </c>
      <c r="BA33" s="543">
        <f>BA19+BA25+BA26+BA27+BA28-BA32</f>
        <v>199191</v>
      </c>
      <c r="BB33" s="544">
        <f>BB19+BB25-BB32</f>
        <v>149218.1</v>
      </c>
      <c r="BC33" s="545">
        <f t="shared" si="9"/>
        <v>348409.1</v>
      </c>
      <c r="BD33" s="340"/>
    </row>
    <row r="34" spans="1:56" x14ac:dyDescent="0.25">
      <c r="A34" s="485"/>
      <c r="B34" s="485"/>
      <c r="C34" s="485" t="s">
        <v>168</v>
      </c>
      <c r="D34" s="485"/>
      <c r="E34" s="485"/>
      <c r="F34" s="485"/>
      <c r="G34" s="468"/>
      <c r="H34" s="312"/>
      <c r="I34" s="468"/>
      <c r="J34" s="312"/>
      <c r="K34" s="468"/>
      <c r="L34" s="312"/>
      <c r="M34" s="468"/>
      <c r="N34" s="312"/>
      <c r="O34" s="468"/>
      <c r="P34" s="312"/>
      <c r="Q34" s="468"/>
      <c r="R34" s="312"/>
      <c r="S34" s="468"/>
      <c r="T34" s="312"/>
      <c r="U34" s="468"/>
      <c r="V34" s="312"/>
      <c r="W34" s="468"/>
      <c r="X34" s="312"/>
      <c r="Y34" s="468"/>
      <c r="Z34" s="312"/>
      <c r="AA34" s="468"/>
      <c r="AB34" s="312"/>
      <c r="AC34" s="468"/>
      <c r="AD34" s="312"/>
      <c r="AE34" s="468"/>
      <c r="AF34" s="312"/>
      <c r="AG34" s="468"/>
      <c r="AH34" s="312"/>
      <c r="AI34" s="468"/>
      <c r="AJ34" s="312"/>
      <c r="AK34" s="468"/>
      <c r="AL34" s="312"/>
      <c r="AM34" s="468"/>
      <c r="AN34" s="312"/>
      <c r="AO34" s="468"/>
      <c r="AP34" s="312"/>
      <c r="AQ34" s="468"/>
      <c r="AR34" s="312"/>
      <c r="AS34" s="468"/>
      <c r="AT34" s="312"/>
      <c r="AU34" s="468"/>
      <c r="AV34" s="312"/>
      <c r="AW34" s="468"/>
      <c r="AX34" s="312"/>
      <c r="AY34" s="468"/>
      <c r="BA34" s="90"/>
      <c r="BB34" s="401"/>
      <c r="BC34" s="72"/>
    </row>
    <row r="35" spans="1:56" x14ac:dyDescent="0.25">
      <c r="A35" s="485"/>
      <c r="B35" s="485"/>
      <c r="C35" s="485"/>
      <c r="D35" s="485" t="s">
        <v>497</v>
      </c>
      <c r="E35" s="485"/>
      <c r="F35" s="485"/>
      <c r="G35" s="468">
        <v>0</v>
      </c>
      <c r="H35" s="312"/>
      <c r="I35" s="468">
        <v>0</v>
      </c>
      <c r="J35" s="312"/>
      <c r="K35" s="468">
        <f t="shared" ref="K35:K52" si="17">ROUND(SUM(G35:I35),5)</f>
        <v>0</v>
      </c>
      <c r="L35" s="312"/>
      <c r="M35" s="468">
        <v>0</v>
      </c>
      <c r="N35" s="312"/>
      <c r="O35" s="468">
        <v>0</v>
      </c>
      <c r="P35" s="312"/>
      <c r="Q35" s="468">
        <v>0</v>
      </c>
      <c r="R35" s="312"/>
      <c r="S35" s="468">
        <v>0</v>
      </c>
      <c r="T35" s="312"/>
      <c r="U35" s="468">
        <v>0</v>
      </c>
      <c r="V35" s="312"/>
      <c r="W35" s="468">
        <v>0</v>
      </c>
      <c r="X35" s="312"/>
      <c r="Y35" s="468">
        <f t="shared" ref="Y35:Y52" si="18">ROUND(SUM(O35:W35),5)</f>
        <v>0</v>
      </c>
      <c r="Z35" s="312"/>
      <c r="AA35" s="468">
        <v>0</v>
      </c>
      <c r="AB35" s="312"/>
      <c r="AC35" s="468">
        <v>0</v>
      </c>
      <c r="AD35" s="312"/>
      <c r="AE35" s="468">
        <f t="shared" ref="AE35:AE52" si="19">ROUND(SUM(AA35:AC35),5)</f>
        <v>0</v>
      </c>
      <c r="AF35" s="312"/>
      <c r="AG35" s="468">
        <v>0</v>
      </c>
      <c r="AH35" s="312"/>
      <c r="AI35" s="468">
        <v>0</v>
      </c>
      <c r="AJ35" s="312"/>
      <c r="AK35" s="468">
        <f t="shared" ref="AK35:AK52" si="20">ROUND(SUM(AE35:AI35),5)</f>
        <v>0</v>
      </c>
      <c r="AL35" s="312"/>
      <c r="AM35" s="468">
        <v>0</v>
      </c>
      <c r="AN35" s="312"/>
      <c r="AO35" s="468">
        <v>0</v>
      </c>
      <c r="AP35" s="312"/>
      <c r="AQ35" s="468">
        <f t="shared" ref="AQ35:AQ52" si="21">ROUND(SUM(AM35:AO35),5)</f>
        <v>0</v>
      </c>
      <c r="AR35" s="312"/>
      <c r="AS35" s="468">
        <f t="shared" ref="AS35:AS52" si="22">ROUND(Y35+AK35+AQ35,5)</f>
        <v>0</v>
      </c>
      <c r="AT35" s="312"/>
      <c r="AU35" s="468">
        <v>56.35</v>
      </c>
      <c r="AV35" s="312"/>
      <c r="AW35" s="468">
        <v>0</v>
      </c>
      <c r="AX35" s="312"/>
      <c r="AY35" s="468">
        <f t="shared" ref="AY35:AY52" si="23">ROUND(SUM(K35:M35)+SUM(AS35:AW35),5)</f>
        <v>56.35</v>
      </c>
      <c r="BA35" s="537">
        <f>AY35-BB35</f>
        <v>56.35</v>
      </c>
      <c r="BB35" s="512">
        <f t="shared" si="8"/>
        <v>0</v>
      </c>
      <c r="BC35" s="533">
        <f t="shared" ref="BC35:BC52" si="24">BA35+BB35</f>
        <v>56.35</v>
      </c>
    </row>
    <row r="36" spans="1:56" x14ac:dyDescent="0.25">
      <c r="A36" s="485"/>
      <c r="B36" s="485"/>
      <c r="C36" s="485"/>
      <c r="D36" s="485" t="s">
        <v>169</v>
      </c>
      <c r="E36" s="485"/>
      <c r="F36" s="485"/>
      <c r="G36" s="468">
        <v>5149.3100000000004</v>
      </c>
      <c r="H36" s="312"/>
      <c r="I36" s="468">
        <v>18243.63</v>
      </c>
      <c r="J36" s="312"/>
      <c r="K36" s="468">
        <f t="shared" si="17"/>
        <v>23392.94</v>
      </c>
      <c r="L36" s="312"/>
      <c r="M36" s="468">
        <v>54864.73</v>
      </c>
      <c r="N36" s="312"/>
      <c r="O36" s="468">
        <v>0</v>
      </c>
      <c r="P36" s="312"/>
      <c r="Q36" s="468">
        <v>0</v>
      </c>
      <c r="R36" s="312"/>
      <c r="S36" s="468">
        <v>0</v>
      </c>
      <c r="T36" s="312"/>
      <c r="U36" s="468">
        <v>12784.01</v>
      </c>
      <c r="V36" s="312"/>
      <c r="W36" s="468">
        <v>15852.4</v>
      </c>
      <c r="X36" s="312"/>
      <c r="Y36" s="468">
        <f t="shared" si="18"/>
        <v>28636.41</v>
      </c>
      <c r="Z36" s="312"/>
      <c r="AA36" s="468">
        <v>0</v>
      </c>
      <c r="AB36" s="312"/>
      <c r="AC36" s="468">
        <v>32909.519999999997</v>
      </c>
      <c r="AD36" s="312"/>
      <c r="AE36" s="468">
        <f t="shared" si="19"/>
        <v>32909.519999999997</v>
      </c>
      <c r="AF36" s="312"/>
      <c r="AG36" s="468">
        <v>9628.06</v>
      </c>
      <c r="AH36" s="312"/>
      <c r="AI36" s="468">
        <v>7628.84</v>
      </c>
      <c r="AJ36" s="312"/>
      <c r="AK36" s="468">
        <f t="shared" si="20"/>
        <v>50166.42</v>
      </c>
      <c r="AL36" s="312"/>
      <c r="AM36" s="468">
        <v>0</v>
      </c>
      <c r="AN36" s="312"/>
      <c r="AO36" s="468">
        <v>58253.77</v>
      </c>
      <c r="AP36" s="312"/>
      <c r="AQ36" s="468">
        <f t="shared" si="21"/>
        <v>58253.77</v>
      </c>
      <c r="AR36" s="312"/>
      <c r="AS36" s="468">
        <f t="shared" si="22"/>
        <v>137056.6</v>
      </c>
      <c r="AT36" s="312"/>
      <c r="AU36" s="468">
        <v>34976.839999999997</v>
      </c>
      <c r="AV36" s="312"/>
      <c r="AW36" s="468">
        <v>0</v>
      </c>
      <c r="AX36" s="312"/>
      <c r="AY36" s="468">
        <f t="shared" si="23"/>
        <v>250291.11</v>
      </c>
      <c r="BA36" s="537">
        <f t="shared" ref="BA36:BA52" si="25">AY36-BB36</f>
        <v>179253.33</v>
      </c>
      <c r="BB36" s="512">
        <f>S36+U36+AQ36</f>
        <v>71037.78</v>
      </c>
      <c r="BC36" s="533">
        <f t="shared" si="24"/>
        <v>250291.11</v>
      </c>
    </row>
    <row r="37" spans="1:56" x14ac:dyDescent="0.25">
      <c r="A37" s="485"/>
      <c r="B37" s="485"/>
      <c r="C37" s="485"/>
      <c r="D37" s="485" t="s">
        <v>403</v>
      </c>
      <c r="E37" s="485"/>
      <c r="F37" s="485"/>
      <c r="G37" s="468">
        <v>0</v>
      </c>
      <c r="H37" s="312"/>
      <c r="I37" s="468">
        <v>8116.25</v>
      </c>
      <c r="J37" s="312"/>
      <c r="K37" s="468">
        <f t="shared" si="17"/>
        <v>8116.25</v>
      </c>
      <c r="L37" s="312"/>
      <c r="M37" s="468">
        <v>0</v>
      </c>
      <c r="N37" s="312"/>
      <c r="O37" s="468">
        <v>0</v>
      </c>
      <c r="P37" s="312"/>
      <c r="Q37" s="468">
        <v>0</v>
      </c>
      <c r="R37" s="312"/>
      <c r="S37" s="468">
        <v>0</v>
      </c>
      <c r="T37" s="312"/>
      <c r="U37" s="468">
        <v>0</v>
      </c>
      <c r="V37" s="312"/>
      <c r="W37" s="468">
        <v>0</v>
      </c>
      <c r="X37" s="312"/>
      <c r="Y37" s="468">
        <f t="shared" si="18"/>
        <v>0</v>
      </c>
      <c r="Z37" s="312"/>
      <c r="AA37" s="468">
        <v>0</v>
      </c>
      <c r="AB37" s="312"/>
      <c r="AC37" s="468">
        <v>0</v>
      </c>
      <c r="AD37" s="312"/>
      <c r="AE37" s="468">
        <f t="shared" si="19"/>
        <v>0</v>
      </c>
      <c r="AF37" s="312"/>
      <c r="AG37" s="468">
        <v>0</v>
      </c>
      <c r="AH37" s="312"/>
      <c r="AI37" s="468">
        <v>0</v>
      </c>
      <c r="AJ37" s="312"/>
      <c r="AK37" s="468">
        <f t="shared" si="20"/>
        <v>0</v>
      </c>
      <c r="AL37" s="312"/>
      <c r="AM37" s="468">
        <v>0</v>
      </c>
      <c r="AN37" s="312"/>
      <c r="AO37" s="468">
        <v>0</v>
      </c>
      <c r="AP37" s="312"/>
      <c r="AQ37" s="468">
        <f t="shared" si="21"/>
        <v>0</v>
      </c>
      <c r="AR37" s="312"/>
      <c r="AS37" s="468">
        <f t="shared" si="22"/>
        <v>0</v>
      </c>
      <c r="AT37" s="312"/>
      <c r="AU37" s="468">
        <v>0</v>
      </c>
      <c r="AV37" s="312"/>
      <c r="AW37" s="468">
        <v>0</v>
      </c>
      <c r="AX37" s="312"/>
      <c r="AY37" s="468">
        <f t="shared" si="23"/>
        <v>8116.25</v>
      </c>
      <c r="BA37" s="537">
        <f t="shared" si="25"/>
        <v>8116.25</v>
      </c>
      <c r="BB37" s="512">
        <f t="shared" si="8"/>
        <v>0</v>
      </c>
      <c r="BC37" s="533">
        <f t="shared" si="24"/>
        <v>8116.25</v>
      </c>
    </row>
    <row r="38" spans="1:56" x14ac:dyDescent="0.25">
      <c r="A38" s="485"/>
      <c r="B38" s="485"/>
      <c r="C38" s="485"/>
      <c r="D38" s="485" t="s">
        <v>404</v>
      </c>
      <c r="E38" s="485"/>
      <c r="F38" s="485"/>
      <c r="G38" s="468">
        <v>0</v>
      </c>
      <c r="H38" s="312"/>
      <c r="I38" s="468">
        <v>1246.75</v>
      </c>
      <c r="J38" s="312"/>
      <c r="K38" s="468">
        <f t="shared" si="17"/>
        <v>1246.75</v>
      </c>
      <c r="L38" s="312"/>
      <c r="M38" s="468">
        <v>361.67</v>
      </c>
      <c r="N38" s="312"/>
      <c r="O38" s="468">
        <v>0</v>
      </c>
      <c r="P38" s="312"/>
      <c r="Q38" s="468">
        <v>0</v>
      </c>
      <c r="R38" s="312"/>
      <c r="S38" s="468">
        <v>0</v>
      </c>
      <c r="T38" s="312"/>
      <c r="U38" s="468">
        <v>0</v>
      </c>
      <c r="V38" s="312"/>
      <c r="W38" s="468">
        <v>0</v>
      </c>
      <c r="X38" s="312"/>
      <c r="Y38" s="468">
        <f t="shared" si="18"/>
        <v>0</v>
      </c>
      <c r="Z38" s="312"/>
      <c r="AA38" s="468">
        <v>0</v>
      </c>
      <c r="AB38" s="312"/>
      <c r="AC38" s="468">
        <v>0</v>
      </c>
      <c r="AD38" s="312"/>
      <c r="AE38" s="468">
        <f t="shared" si="19"/>
        <v>0</v>
      </c>
      <c r="AF38" s="312"/>
      <c r="AG38" s="468">
        <v>0</v>
      </c>
      <c r="AH38" s="312"/>
      <c r="AI38" s="468">
        <v>54.97</v>
      </c>
      <c r="AJ38" s="312"/>
      <c r="AK38" s="468">
        <f t="shared" si="20"/>
        <v>54.97</v>
      </c>
      <c r="AL38" s="312"/>
      <c r="AM38" s="468">
        <v>0</v>
      </c>
      <c r="AN38" s="312"/>
      <c r="AO38" s="468">
        <v>53.13</v>
      </c>
      <c r="AP38" s="312"/>
      <c r="AQ38" s="468">
        <f t="shared" si="21"/>
        <v>53.13</v>
      </c>
      <c r="AR38" s="312"/>
      <c r="AS38" s="468">
        <f t="shared" si="22"/>
        <v>108.1</v>
      </c>
      <c r="AT38" s="312"/>
      <c r="AU38" s="468">
        <v>0</v>
      </c>
      <c r="AV38" s="312"/>
      <c r="AW38" s="468">
        <v>0</v>
      </c>
      <c r="AX38" s="312"/>
      <c r="AY38" s="468">
        <f t="shared" si="23"/>
        <v>1716.52</v>
      </c>
      <c r="BA38" s="537">
        <f t="shared" si="25"/>
        <v>1663.3899999999999</v>
      </c>
      <c r="BB38" s="512">
        <f t="shared" si="8"/>
        <v>53.13</v>
      </c>
      <c r="BC38" s="533">
        <f t="shared" si="24"/>
        <v>1716.52</v>
      </c>
    </row>
    <row r="39" spans="1:56" x14ac:dyDescent="0.25">
      <c r="A39" s="485"/>
      <c r="B39" s="485"/>
      <c r="C39" s="485"/>
      <c r="D39" s="485" t="s">
        <v>405</v>
      </c>
      <c r="E39" s="485"/>
      <c r="F39" s="485"/>
      <c r="G39" s="468">
        <v>3.83</v>
      </c>
      <c r="H39" s="312"/>
      <c r="I39" s="468">
        <v>14.03</v>
      </c>
      <c r="J39" s="312"/>
      <c r="K39" s="468">
        <f t="shared" si="17"/>
        <v>17.86</v>
      </c>
      <c r="L39" s="312"/>
      <c r="M39" s="468">
        <v>40.840000000000003</v>
      </c>
      <c r="N39" s="312"/>
      <c r="O39" s="468">
        <v>0</v>
      </c>
      <c r="P39" s="312"/>
      <c r="Q39" s="468">
        <v>0</v>
      </c>
      <c r="R39" s="312"/>
      <c r="S39" s="468">
        <v>0</v>
      </c>
      <c r="T39" s="312"/>
      <c r="U39" s="468">
        <v>10.210000000000001</v>
      </c>
      <c r="V39" s="312"/>
      <c r="W39" s="468">
        <v>17.87</v>
      </c>
      <c r="X39" s="312"/>
      <c r="Y39" s="468">
        <f t="shared" si="18"/>
        <v>28.08</v>
      </c>
      <c r="Z39" s="312"/>
      <c r="AA39" s="468">
        <v>0</v>
      </c>
      <c r="AB39" s="312"/>
      <c r="AC39" s="468">
        <v>33.18</v>
      </c>
      <c r="AD39" s="312"/>
      <c r="AE39" s="468">
        <f t="shared" si="19"/>
        <v>33.18</v>
      </c>
      <c r="AF39" s="312"/>
      <c r="AG39" s="468">
        <v>5.1100000000000003</v>
      </c>
      <c r="AH39" s="312"/>
      <c r="AI39" s="468">
        <v>7.66</v>
      </c>
      <c r="AJ39" s="312"/>
      <c r="AK39" s="468">
        <f t="shared" si="20"/>
        <v>45.95</v>
      </c>
      <c r="AL39" s="312"/>
      <c r="AM39" s="468">
        <v>0</v>
      </c>
      <c r="AN39" s="312"/>
      <c r="AO39" s="468">
        <v>53.61</v>
      </c>
      <c r="AP39" s="312"/>
      <c r="AQ39" s="468">
        <f t="shared" si="21"/>
        <v>53.61</v>
      </c>
      <c r="AR39" s="312"/>
      <c r="AS39" s="468">
        <f t="shared" si="22"/>
        <v>127.64</v>
      </c>
      <c r="AT39" s="312"/>
      <c r="AU39" s="468">
        <v>0</v>
      </c>
      <c r="AV39" s="312"/>
      <c r="AW39" s="468">
        <v>0</v>
      </c>
      <c r="AX39" s="312"/>
      <c r="AY39" s="468">
        <f t="shared" si="23"/>
        <v>186.34</v>
      </c>
      <c r="BA39" s="537">
        <f t="shared" si="25"/>
        <v>122.52000000000001</v>
      </c>
      <c r="BB39" s="512">
        <f t="shared" si="8"/>
        <v>63.82</v>
      </c>
      <c r="BC39" s="533">
        <f t="shared" si="24"/>
        <v>186.34</v>
      </c>
    </row>
    <row r="40" spans="1:56" x14ac:dyDescent="0.25">
      <c r="A40" s="485"/>
      <c r="B40" s="485"/>
      <c r="C40" s="485"/>
      <c r="D40" s="485" t="s">
        <v>173</v>
      </c>
      <c r="E40" s="485"/>
      <c r="F40" s="485"/>
      <c r="G40" s="468">
        <v>256.14999999999998</v>
      </c>
      <c r="H40" s="312"/>
      <c r="I40" s="468">
        <v>293.02</v>
      </c>
      <c r="J40" s="312"/>
      <c r="K40" s="468">
        <f t="shared" si="17"/>
        <v>549.16999999999996</v>
      </c>
      <c r="L40" s="312"/>
      <c r="M40" s="468">
        <v>1097.77</v>
      </c>
      <c r="N40" s="312"/>
      <c r="O40" s="468">
        <v>0</v>
      </c>
      <c r="P40" s="312"/>
      <c r="Q40" s="468">
        <v>0</v>
      </c>
      <c r="R40" s="312"/>
      <c r="S40" s="468">
        <v>0</v>
      </c>
      <c r="T40" s="312"/>
      <c r="U40" s="468">
        <v>277.95</v>
      </c>
      <c r="V40" s="312"/>
      <c r="W40" s="468">
        <v>312.83999999999997</v>
      </c>
      <c r="X40" s="312"/>
      <c r="Y40" s="468">
        <f t="shared" si="18"/>
        <v>590.79</v>
      </c>
      <c r="Z40" s="312"/>
      <c r="AA40" s="468">
        <v>0</v>
      </c>
      <c r="AB40" s="312"/>
      <c r="AC40" s="468">
        <v>352.27</v>
      </c>
      <c r="AD40" s="312"/>
      <c r="AE40" s="468">
        <f t="shared" si="19"/>
        <v>352.27</v>
      </c>
      <c r="AF40" s="312"/>
      <c r="AG40" s="468">
        <v>35.68</v>
      </c>
      <c r="AH40" s="312"/>
      <c r="AI40" s="468">
        <v>242.07</v>
      </c>
      <c r="AJ40" s="312"/>
      <c r="AK40" s="468">
        <f t="shared" si="20"/>
        <v>630.02</v>
      </c>
      <c r="AL40" s="312"/>
      <c r="AM40" s="468">
        <v>0</v>
      </c>
      <c r="AN40" s="312"/>
      <c r="AO40" s="468">
        <v>522.34</v>
      </c>
      <c r="AP40" s="312"/>
      <c r="AQ40" s="468">
        <f t="shared" si="21"/>
        <v>522.34</v>
      </c>
      <c r="AR40" s="312"/>
      <c r="AS40" s="468">
        <f t="shared" si="22"/>
        <v>1743.15</v>
      </c>
      <c r="AT40" s="312"/>
      <c r="AU40" s="468">
        <v>0</v>
      </c>
      <c r="AV40" s="312"/>
      <c r="AW40" s="468">
        <v>0</v>
      </c>
      <c r="AX40" s="312"/>
      <c r="AY40" s="468">
        <f t="shared" si="23"/>
        <v>3390.09</v>
      </c>
      <c r="BA40" s="537">
        <f t="shared" si="25"/>
        <v>2589.8000000000002</v>
      </c>
      <c r="BB40" s="512">
        <f>S40+U40+AQ40</f>
        <v>800.29</v>
      </c>
      <c r="BC40" s="533">
        <f t="shared" si="24"/>
        <v>3390.09</v>
      </c>
    </row>
    <row r="41" spans="1:56" x14ac:dyDescent="0.25">
      <c r="A41" s="485"/>
      <c r="B41" s="485"/>
      <c r="C41" s="485"/>
      <c r="D41" s="485" t="s">
        <v>174</v>
      </c>
      <c r="E41" s="485"/>
      <c r="F41" s="485"/>
      <c r="G41" s="468">
        <v>76.09</v>
      </c>
      <c r="H41" s="312"/>
      <c r="I41" s="468">
        <v>303.23</v>
      </c>
      <c r="J41" s="312"/>
      <c r="K41" s="468">
        <f t="shared" si="17"/>
        <v>379.32</v>
      </c>
      <c r="L41" s="312"/>
      <c r="M41" s="468">
        <v>778.87</v>
      </c>
      <c r="N41" s="312"/>
      <c r="O41" s="468">
        <v>0</v>
      </c>
      <c r="P41" s="312"/>
      <c r="Q41" s="468">
        <v>0</v>
      </c>
      <c r="R41" s="312"/>
      <c r="S41" s="468">
        <v>0</v>
      </c>
      <c r="T41" s="312"/>
      <c r="U41" s="468">
        <v>210.61</v>
      </c>
      <c r="V41" s="312"/>
      <c r="W41" s="468">
        <v>318.13</v>
      </c>
      <c r="X41" s="312"/>
      <c r="Y41" s="468">
        <f t="shared" si="18"/>
        <v>528.74</v>
      </c>
      <c r="Z41" s="312"/>
      <c r="AA41" s="468">
        <v>0</v>
      </c>
      <c r="AB41" s="312"/>
      <c r="AC41" s="468">
        <v>518.86</v>
      </c>
      <c r="AD41" s="312"/>
      <c r="AE41" s="468">
        <f t="shared" si="19"/>
        <v>518.86</v>
      </c>
      <c r="AF41" s="312"/>
      <c r="AG41" s="468">
        <v>91.84</v>
      </c>
      <c r="AH41" s="312"/>
      <c r="AI41" s="468">
        <v>104.68</v>
      </c>
      <c r="AJ41" s="312"/>
      <c r="AK41" s="468">
        <f t="shared" si="20"/>
        <v>715.38</v>
      </c>
      <c r="AL41" s="312"/>
      <c r="AM41" s="468">
        <v>0</v>
      </c>
      <c r="AN41" s="312"/>
      <c r="AO41" s="468">
        <v>1161.04</v>
      </c>
      <c r="AP41" s="312"/>
      <c r="AQ41" s="468">
        <f t="shared" si="21"/>
        <v>1161.04</v>
      </c>
      <c r="AR41" s="312"/>
      <c r="AS41" s="468">
        <f t="shared" si="22"/>
        <v>2405.16</v>
      </c>
      <c r="AT41" s="312"/>
      <c r="AU41" s="468">
        <v>468.83</v>
      </c>
      <c r="AV41" s="312"/>
      <c r="AW41" s="468">
        <v>0</v>
      </c>
      <c r="AX41" s="312"/>
      <c r="AY41" s="468">
        <f t="shared" si="23"/>
        <v>4032.18</v>
      </c>
      <c r="BA41" s="537">
        <f t="shared" si="25"/>
        <v>2660.5299999999997</v>
      </c>
      <c r="BB41" s="512">
        <f t="shared" si="8"/>
        <v>1371.65</v>
      </c>
      <c r="BC41" s="533">
        <f t="shared" si="24"/>
        <v>4032.18</v>
      </c>
    </row>
    <row r="42" spans="1:56" x14ac:dyDescent="0.25">
      <c r="A42" s="485"/>
      <c r="B42" s="485"/>
      <c r="C42" s="485"/>
      <c r="D42" s="485" t="s">
        <v>175</v>
      </c>
      <c r="E42" s="485"/>
      <c r="F42" s="485"/>
      <c r="G42" s="468">
        <v>6.56</v>
      </c>
      <c r="H42" s="312"/>
      <c r="I42" s="468">
        <v>63.62</v>
      </c>
      <c r="J42" s="312"/>
      <c r="K42" s="468">
        <f t="shared" si="17"/>
        <v>70.180000000000007</v>
      </c>
      <c r="L42" s="312"/>
      <c r="M42" s="468">
        <v>3643.43</v>
      </c>
      <c r="N42" s="312"/>
      <c r="O42" s="468">
        <v>0</v>
      </c>
      <c r="P42" s="312"/>
      <c r="Q42" s="468">
        <v>0</v>
      </c>
      <c r="R42" s="312"/>
      <c r="S42" s="468">
        <v>0</v>
      </c>
      <c r="T42" s="312"/>
      <c r="U42" s="468">
        <v>19.07</v>
      </c>
      <c r="V42" s="312"/>
      <c r="W42" s="468">
        <v>28.32</v>
      </c>
      <c r="X42" s="312"/>
      <c r="Y42" s="468">
        <f t="shared" si="18"/>
        <v>47.39</v>
      </c>
      <c r="Z42" s="312"/>
      <c r="AA42" s="468">
        <v>0</v>
      </c>
      <c r="AB42" s="312"/>
      <c r="AC42" s="468">
        <v>47.53</v>
      </c>
      <c r="AD42" s="312"/>
      <c r="AE42" s="468">
        <f t="shared" si="19"/>
        <v>47.53</v>
      </c>
      <c r="AF42" s="312"/>
      <c r="AG42" s="468">
        <v>8.3699999999999992</v>
      </c>
      <c r="AH42" s="312"/>
      <c r="AI42" s="468">
        <v>9.56</v>
      </c>
      <c r="AJ42" s="312"/>
      <c r="AK42" s="468">
        <f t="shared" si="20"/>
        <v>65.459999999999994</v>
      </c>
      <c r="AL42" s="312"/>
      <c r="AM42" s="468">
        <v>0</v>
      </c>
      <c r="AN42" s="312"/>
      <c r="AO42" s="468">
        <v>1928.78</v>
      </c>
      <c r="AP42" s="312"/>
      <c r="AQ42" s="468">
        <f t="shared" si="21"/>
        <v>1928.78</v>
      </c>
      <c r="AR42" s="312"/>
      <c r="AS42" s="468">
        <f t="shared" si="22"/>
        <v>2041.63</v>
      </c>
      <c r="AT42" s="312"/>
      <c r="AU42" s="468">
        <v>0</v>
      </c>
      <c r="AV42" s="312"/>
      <c r="AW42" s="468">
        <v>0</v>
      </c>
      <c r="AX42" s="312"/>
      <c r="AY42" s="468">
        <f t="shared" si="23"/>
        <v>5755.24</v>
      </c>
      <c r="BA42" s="537">
        <f t="shared" si="25"/>
        <v>3807.39</v>
      </c>
      <c r="BB42" s="512">
        <f t="shared" si="8"/>
        <v>1947.85</v>
      </c>
      <c r="BC42" s="533">
        <f t="shared" si="24"/>
        <v>5755.24</v>
      </c>
    </row>
    <row r="43" spans="1:56" x14ac:dyDescent="0.25">
      <c r="A43" s="485"/>
      <c r="B43" s="485"/>
      <c r="C43" s="485"/>
      <c r="D43" s="485" t="s">
        <v>176</v>
      </c>
      <c r="E43" s="485"/>
      <c r="F43" s="485"/>
      <c r="G43" s="468">
        <v>289.31</v>
      </c>
      <c r="H43" s="312"/>
      <c r="I43" s="468">
        <v>1683.29</v>
      </c>
      <c r="J43" s="312"/>
      <c r="K43" s="468">
        <f t="shared" si="17"/>
        <v>1972.6</v>
      </c>
      <c r="L43" s="312"/>
      <c r="M43" s="468">
        <v>2696.52</v>
      </c>
      <c r="N43" s="312"/>
      <c r="O43" s="468">
        <v>0</v>
      </c>
      <c r="P43" s="312"/>
      <c r="Q43" s="468">
        <v>0</v>
      </c>
      <c r="R43" s="312"/>
      <c r="S43" s="468">
        <v>0</v>
      </c>
      <c r="T43" s="312"/>
      <c r="U43" s="468">
        <v>778.85</v>
      </c>
      <c r="V43" s="312"/>
      <c r="W43" s="468">
        <v>1186.6600000000001</v>
      </c>
      <c r="X43" s="312"/>
      <c r="Y43" s="468">
        <f t="shared" si="18"/>
        <v>1965.51</v>
      </c>
      <c r="Z43" s="312"/>
      <c r="AA43" s="468">
        <v>0</v>
      </c>
      <c r="AB43" s="312"/>
      <c r="AC43" s="468">
        <v>1678.46</v>
      </c>
      <c r="AD43" s="312"/>
      <c r="AE43" s="468">
        <f t="shared" si="19"/>
        <v>1678.46</v>
      </c>
      <c r="AF43" s="312"/>
      <c r="AG43" s="468">
        <v>153.43</v>
      </c>
      <c r="AH43" s="312"/>
      <c r="AI43" s="468">
        <v>386.03</v>
      </c>
      <c r="AJ43" s="312"/>
      <c r="AK43" s="468">
        <f t="shared" si="20"/>
        <v>2217.92</v>
      </c>
      <c r="AL43" s="312"/>
      <c r="AM43" s="468">
        <v>0</v>
      </c>
      <c r="AN43" s="312"/>
      <c r="AO43" s="468">
        <v>2983.88</v>
      </c>
      <c r="AP43" s="312"/>
      <c r="AQ43" s="468">
        <f t="shared" si="21"/>
        <v>2983.88</v>
      </c>
      <c r="AR43" s="312"/>
      <c r="AS43" s="468">
        <f t="shared" si="22"/>
        <v>7167.31</v>
      </c>
      <c r="AT43" s="312"/>
      <c r="AU43" s="468">
        <v>1919.31</v>
      </c>
      <c r="AV43" s="312"/>
      <c r="AW43" s="468">
        <v>0</v>
      </c>
      <c r="AX43" s="312"/>
      <c r="AY43" s="468">
        <f t="shared" si="23"/>
        <v>13755.74</v>
      </c>
      <c r="BA43" s="537">
        <f t="shared" si="25"/>
        <v>9993.01</v>
      </c>
      <c r="BB43" s="512">
        <f t="shared" si="8"/>
        <v>3762.73</v>
      </c>
      <c r="BC43" s="533">
        <f t="shared" si="24"/>
        <v>13755.74</v>
      </c>
    </row>
    <row r="44" spans="1:56" x14ac:dyDescent="0.25">
      <c r="A44" s="485"/>
      <c r="B44" s="485"/>
      <c r="C44" s="485"/>
      <c r="D44" s="485" t="s">
        <v>177</v>
      </c>
      <c r="E44" s="485"/>
      <c r="F44" s="485"/>
      <c r="G44" s="468">
        <v>65.739999999999995</v>
      </c>
      <c r="H44" s="312"/>
      <c r="I44" s="468">
        <v>237.67</v>
      </c>
      <c r="J44" s="312"/>
      <c r="K44" s="468">
        <f t="shared" si="17"/>
        <v>303.41000000000003</v>
      </c>
      <c r="L44" s="312"/>
      <c r="M44" s="468">
        <v>635.30999999999995</v>
      </c>
      <c r="N44" s="312"/>
      <c r="O44" s="468">
        <v>0</v>
      </c>
      <c r="P44" s="312"/>
      <c r="Q44" s="468">
        <v>0</v>
      </c>
      <c r="R44" s="312"/>
      <c r="S44" s="468">
        <v>0</v>
      </c>
      <c r="T44" s="312"/>
      <c r="U44" s="468">
        <v>159.56</v>
      </c>
      <c r="V44" s="312"/>
      <c r="W44" s="468">
        <v>258.37</v>
      </c>
      <c r="X44" s="312"/>
      <c r="Y44" s="468">
        <f t="shared" si="18"/>
        <v>417.93</v>
      </c>
      <c r="Z44" s="312"/>
      <c r="AA44" s="468">
        <v>0</v>
      </c>
      <c r="AB44" s="312"/>
      <c r="AC44" s="468">
        <v>424.79</v>
      </c>
      <c r="AD44" s="312"/>
      <c r="AE44" s="468">
        <f t="shared" si="19"/>
        <v>424.79</v>
      </c>
      <c r="AF44" s="312"/>
      <c r="AG44" s="468">
        <v>99.44</v>
      </c>
      <c r="AH44" s="312"/>
      <c r="AI44" s="468">
        <v>82.03</v>
      </c>
      <c r="AJ44" s="312"/>
      <c r="AK44" s="468">
        <f t="shared" si="20"/>
        <v>606.26</v>
      </c>
      <c r="AL44" s="312"/>
      <c r="AM44" s="468">
        <v>0</v>
      </c>
      <c r="AN44" s="312"/>
      <c r="AO44" s="468">
        <v>759.8</v>
      </c>
      <c r="AP44" s="312"/>
      <c r="AQ44" s="468">
        <f t="shared" si="21"/>
        <v>759.8</v>
      </c>
      <c r="AR44" s="312"/>
      <c r="AS44" s="468">
        <f t="shared" si="22"/>
        <v>1783.99</v>
      </c>
      <c r="AT44" s="312"/>
      <c r="AU44" s="468">
        <v>0</v>
      </c>
      <c r="AV44" s="312"/>
      <c r="AW44" s="468">
        <v>0</v>
      </c>
      <c r="AX44" s="312"/>
      <c r="AY44" s="468">
        <f t="shared" si="23"/>
        <v>2722.71</v>
      </c>
      <c r="BA44" s="537">
        <f t="shared" si="25"/>
        <v>1803.3500000000001</v>
      </c>
      <c r="BB44" s="512">
        <f t="shared" si="8"/>
        <v>919.3599999999999</v>
      </c>
      <c r="BC44" s="533">
        <f t="shared" si="24"/>
        <v>2722.71</v>
      </c>
    </row>
    <row r="45" spans="1:56" x14ac:dyDescent="0.25">
      <c r="A45" s="485"/>
      <c r="B45" s="485"/>
      <c r="C45" s="485"/>
      <c r="D45" s="485" t="s">
        <v>406</v>
      </c>
      <c r="E45" s="485"/>
      <c r="F45" s="485"/>
      <c r="G45" s="468">
        <v>21.4</v>
      </c>
      <c r="H45" s="312"/>
      <c r="I45" s="468">
        <v>82.17</v>
      </c>
      <c r="J45" s="312"/>
      <c r="K45" s="468">
        <f t="shared" si="17"/>
        <v>103.57</v>
      </c>
      <c r="L45" s="312"/>
      <c r="M45" s="468">
        <v>3822.38</v>
      </c>
      <c r="N45" s="312"/>
      <c r="O45" s="468">
        <v>0</v>
      </c>
      <c r="P45" s="312"/>
      <c r="Q45" s="468">
        <v>0</v>
      </c>
      <c r="R45" s="312"/>
      <c r="S45" s="468">
        <v>0</v>
      </c>
      <c r="T45" s="312"/>
      <c r="U45" s="468">
        <v>44.27</v>
      </c>
      <c r="V45" s="312"/>
      <c r="W45" s="468">
        <v>77.36</v>
      </c>
      <c r="X45" s="312"/>
      <c r="Y45" s="468">
        <f t="shared" si="18"/>
        <v>121.63</v>
      </c>
      <c r="Z45" s="312"/>
      <c r="AA45" s="468">
        <v>0</v>
      </c>
      <c r="AB45" s="312"/>
      <c r="AC45" s="468">
        <v>108.37</v>
      </c>
      <c r="AD45" s="312"/>
      <c r="AE45" s="468">
        <f t="shared" si="19"/>
        <v>108.37</v>
      </c>
      <c r="AF45" s="312"/>
      <c r="AG45" s="468">
        <v>19.07</v>
      </c>
      <c r="AH45" s="312"/>
      <c r="AI45" s="468">
        <v>23.28</v>
      </c>
      <c r="AJ45" s="312"/>
      <c r="AK45" s="468">
        <f t="shared" si="20"/>
        <v>150.72</v>
      </c>
      <c r="AL45" s="312"/>
      <c r="AM45" s="468">
        <v>0</v>
      </c>
      <c r="AN45" s="312"/>
      <c r="AO45" s="468">
        <v>260.42</v>
      </c>
      <c r="AP45" s="312"/>
      <c r="AQ45" s="468">
        <f t="shared" si="21"/>
        <v>260.42</v>
      </c>
      <c r="AR45" s="312"/>
      <c r="AS45" s="468">
        <f t="shared" si="22"/>
        <v>532.77</v>
      </c>
      <c r="AT45" s="312"/>
      <c r="AU45" s="468">
        <v>0</v>
      </c>
      <c r="AV45" s="312"/>
      <c r="AW45" s="468">
        <v>0</v>
      </c>
      <c r="AX45" s="312"/>
      <c r="AY45" s="468">
        <f t="shared" si="23"/>
        <v>4458.72</v>
      </c>
      <c r="BA45" s="537">
        <f t="shared" si="25"/>
        <v>4154.0300000000007</v>
      </c>
      <c r="BB45" s="512">
        <f t="shared" si="8"/>
        <v>304.69</v>
      </c>
      <c r="BC45" s="533">
        <f t="shared" si="24"/>
        <v>4458.72</v>
      </c>
    </row>
    <row r="46" spans="1:56" x14ac:dyDescent="0.25">
      <c r="A46" s="485"/>
      <c r="B46" s="485"/>
      <c r="C46" s="485"/>
      <c r="D46" s="485" t="s">
        <v>407</v>
      </c>
      <c r="E46" s="485"/>
      <c r="F46" s="485"/>
      <c r="G46" s="468">
        <v>7831.91</v>
      </c>
      <c r="H46" s="312"/>
      <c r="I46" s="468">
        <v>298.63</v>
      </c>
      <c r="J46" s="312"/>
      <c r="K46" s="468">
        <f t="shared" si="17"/>
        <v>8130.54</v>
      </c>
      <c r="L46" s="312"/>
      <c r="M46" s="468">
        <v>1195.0899999999999</v>
      </c>
      <c r="N46" s="312"/>
      <c r="O46" s="468">
        <v>0</v>
      </c>
      <c r="P46" s="312"/>
      <c r="Q46" s="468">
        <v>0</v>
      </c>
      <c r="R46" s="312"/>
      <c r="S46" s="468">
        <v>0</v>
      </c>
      <c r="T46" s="312"/>
      <c r="U46" s="468">
        <v>602.41</v>
      </c>
      <c r="V46" s="312"/>
      <c r="W46" s="468">
        <v>946.91</v>
      </c>
      <c r="X46" s="312"/>
      <c r="Y46" s="468">
        <f t="shared" si="18"/>
        <v>1549.32</v>
      </c>
      <c r="Z46" s="312"/>
      <c r="AA46" s="468">
        <v>0</v>
      </c>
      <c r="AB46" s="312"/>
      <c r="AC46" s="468">
        <v>1.44</v>
      </c>
      <c r="AD46" s="312"/>
      <c r="AE46" s="468">
        <f t="shared" si="19"/>
        <v>1.44</v>
      </c>
      <c r="AF46" s="312"/>
      <c r="AG46" s="468">
        <v>179.73</v>
      </c>
      <c r="AH46" s="312"/>
      <c r="AI46" s="468">
        <v>501.47</v>
      </c>
      <c r="AJ46" s="312"/>
      <c r="AK46" s="468">
        <f t="shared" si="20"/>
        <v>682.64</v>
      </c>
      <c r="AL46" s="312"/>
      <c r="AM46" s="468">
        <v>0</v>
      </c>
      <c r="AN46" s="312"/>
      <c r="AO46" s="468">
        <v>1459.1</v>
      </c>
      <c r="AP46" s="312"/>
      <c r="AQ46" s="468">
        <f t="shared" si="21"/>
        <v>1459.1</v>
      </c>
      <c r="AR46" s="312"/>
      <c r="AS46" s="468">
        <f t="shared" si="22"/>
        <v>3691.06</v>
      </c>
      <c r="AT46" s="312"/>
      <c r="AU46" s="468">
        <v>0</v>
      </c>
      <c r="AV46" s="312"/>
      <c r="AW46" s="468">
        <v>0</v>
      </c>
      <c r="AX46" s="312"/>
      <c r="AY46" s="468">
        <f t="shared" si="23"/>
        <v>13016.69</v>
      </c>
      <c r="BA46" s="537">
        <f t="shared" si="25"/>
        <v>10955.18</v>
      </c>
      <c r="BB46" s="512">
        <f t="shared" si="8"/>
        <v>2061.5099999999998</v>
      </c>
      <c r="BC46" s="533">
        <f t="shared" si="24"/>
        <v>13016.69</v>
      </c>
    </row>
    <row r="47" spans="1:56" x14ac:dyDescent="0.25">
      <c r="A47" s="485"/>
      <c r="B47" s="485"/>
      <c r="C47" s="485"/>
      <c r="D47" s="485" t="s">
        <v>181</v>
      </c>
      <c r="E47" s="485"/>
      <c r="F47" s="485"/>
      <c r="G47" s="468">
        <v>1780.29</v>
      </c>
      <c r="H47" s="312"/>
      <c r="I47" s="468">
        <v>402.59</v>
      </c>
      <c r="J47" s="312"/>
      <c r="K47" s="468">
        <f t="shared" si="17"/>
        <v>2182.88</v>
      </c>
      <c r="L47" s="312"/>
      <c r="M47" s="468">
        <v>819.28</v>
      </c>
      <c r="N47" s="312"/>
      <c r="O47" s="468">
        <v>0</v>
      </c>
      <c r="P47" s="312"/>
      <c r="Q47" s="468">
        <v>0</v>
      </c>
      <c r="R47" s="312"/>
      <c r="S47" s="468">
        <v>0</v>
      </c>
      <c r="T47" s="312"/>
      <c r="U47" s="468">
        <v>187.66</v>
      </c>
      <c r="V47" s="312"/>
      <c r="W47" s="468">
        <v>360.25</v>
      </c>
      <c r="X47" s="312"/>
      <c r="Y47" s="468">
        <f t="shared" si="18"/>
        <v>547.91</v>
      </c>
      <c r="Z47" s="312"/>
      <c r="AA47" s="468">
        <v>0</v>
      </c>
      <c r="AB47" s="312"/>
      <c r="AC47" s="468">
        <v>1409.27</v>
      </c>
      <c r="AD47" s="312"/>
      <c r="AE47" s="468">
        <f t="shared" si="19"/>
        <v>1409.27</v>
      </c>
      <c r="AF47" s="312"/>
      <c r="AG47" s="468">
        <v>242.21</v>
      </c>
      <c r="AH47" s="312"/>
      <c r="AI47" s="468">
        <v>63.68</v>
      </c>
      <c r="AJ47" s="312"/>
      <c r="AK47" s="468">
        <f t="shared" si="20"/>
        <v>1715.16</v>
      </c>
      <c r="AL47" s="312"/>
      <c r="AM47" s="468">
        <v>0</v>
      </c>
      <c r="AN47" s="312"/>
      <c r="AO47" s="468">
        <v>2390.2800000000002</v>
      </c>
      <c r="AP47" s="312"/>
      <c r="AQ47" s="468">
        <f t="shared" si="21"/>
        <v>2390.2800000000002</v>
      </c>
      <c r="AR47" s="312"/>
      <c r="AS47" s="468">
        <f t="shared" si="22"/>
        <v>4653.3500000000004</v>
      </c>
      <c r="AT47" s="312"/>
      <c r="AU47" s="468">
        <v>0</v>
      </c>
      <c r="AV47" s="312"/>
      <c r="AW47" s="468">
        <v>0</v>
      </c>
      <c r="AX47" s="312"/>
      <c r="AY47" s="468">
        <f t="shared" si="23"/>
        <v>7655.51</v>
      </c>
      <c r="BA47" s="537">
        <f t="shared" si="25"/>
        <v>5077.57</v>
      </c>
      <c r="BB47" s="512">
        <f t="shared" si="8"/>
        <v>2577.94</v>
      </c>
      <c r="BC47" s="533">
        <f t="shared" si="24"/>
        <v>7655.51</v>
      </c>
    </row>
    <row r="48" spans="1:56" x14ac:dyDescent="0.25">
      <c r="A48" s="485"/>
      <c r="B48" s="485"/>
      <c r="C48" s="485"/>
      <c r="D48" s="485" t="s">
        <v>183</v>
      </c>
      <c r="E48" s="485"/>
      <c r="F48" s="485"/>
      <c r="G48" s="468">
        <v>103.09</v>
      </c>
      <c r="H48" s="312"/>
      <c r="I48" s="468">
        <v>440.68</v>
      </c>
      <c r="J48" s="312"/>
      <c r="K48" s="468">
        <f t="shared" si="17"/>
        <v>543.77</v>
      </c>
      <c r="L48" s="312"/>
      <c r="M48" s="468">
        <v>7954.87</v>
      </c>
      <c r="N48" s="312"/>
      <c r="O48" s="468">
        <v>0</v>
      </c>
      <c r="P48" s="312"/>
      <c r="Q48" s="468">
        <v>0</v>
      </c>
      <c r="R48" s="312"/>
      <c r="S48" s="468">
        <v>0</v>
      </c>
      <c r="T48" s="312"/>
      <c r="U48" s="468">
        <v>103.51</v>
      </c>
      <c r="V48" s="312"/>
      <c r="W48" s="468">
        <v>531.95000000000005</v>
      </c>
      <c r="X48" s="312"/>
      <c r="Y48" s="468">
        <f t="shared" si="18"/>
        <v>635.46</v>
      </c>
      <c r="Z48" s="312"/>
      <c r="AA48" s="468">
        <v>0</v>
      </c>
      <c r="AB48" s="312"/>
      <c r="AC48" s="468">
        <v>867.23</v>
      </c>
      <c r="AD48" s="312"/>
      <c r="AE48" s="468">
        <f t="shared" si="19"/>
        <v>867.23</v>
      </c>
      <c r="AF48" s="312"/>
      <c r="AG48" s="468">
        <v>97.75</v>
      </c>
      <c r="AH48" s="312"/>
      <c r="AI48" s="468">
        <v>165.32</v>
      </c>
      <c r="AJ48" s="312"/>
      <c r="AK48" s="468">
        <f t="shared" si="20"/>
        <v>1130.3</v>
      </c>
      <c r="AL48" s="312"/>
      <c r="AM48" s="468">
        <v>0</v>
      </c>
      <c r="AN48" s="312"/>
      <c r="AO48" s="468">
        <v>1305.44</v>
      </c>
      <c r="AP48" s="312"/>
      <c r="AQ48" s="468">
        <f t="shared" si="21"/>
        <v>1305.44</v>
      </c>
      <c r="AR48" s="312"/>
      <c r="AS48" s="468">
        <f t="shared" si="22"/>
        <v>3071.2</v>
      </c>
      <c r="AT48" s="312"/>
      <c r="AU48" s="468">
        <v>0</v>
      </c>
      <c r="AV48" s="312"/>
      <c r="AW48" s="468">
        <v>0</v>
      </c>
      <c r="AX48" s="312"/>
      <c r="AY48" s="468">
        <f t="shared" si="23"/>
        <v>11569.84</v>
      </c>
      <c r="BA48" s="537">
        <f t="shared" si="25"/>
        <v>10160.89</v>
      </c>
      <c r="BB48" s="512">
        <f t="shared" si="8"/>
        <v>1408.95</v>
      </c>
      <c r="BC48" s="533">
        <f t="shared" si="24"/>
        <v>11569.84</v>
      </c>
    </row>
    <row r="49" spans="1:55" ht="15.75" thickBot="1" x14ac:dyDescent="0.3">
      <c r="A49" s="485"/>
      <c r="B49" s="485"/>
      <c r="C49" s="485"/>
      <c r="D49" s="485" t="s">
        <v>184</v>
      </c>
      <c r="E49" s="485"/>
      <c r="F49" s="485"/>
      <c r="G49" s="467">
        <v>1669.11</v>
      </c>
      <c r="H49" s="312"/>
      <c r="I49" s="467">
        <v>16851.45</v>
      </c>
      <c r="J49" s="312"/>
      <c r="K49" s="467">
        <f t="shared" si="17"/>
        <v>18520.560000000001</v>
      </c>
      <c r="L49" s="312"/>
      <c r="M49" s="467">
        <v>7542.31</v>
      </c>
      <c r="N49" s="312"/>
      <c r="O49" s="467">
        <v>0</v>
      </c>
      <c r="P49" s="312"/>
      <c r="Q49" s="467">
        <v>0</v>
      </c>
      <c r="R49" s="312"/>
      <c r="S49" s="467">
        <v>0</v>
      </c>
      <c r="T49" s="312"/>
      <c r="U49" s="467">
        <v>33161.089999999997</v>
      </c>
      <c r="V49" s="312"/>
      <c r="W49" s="467">
        <v>5149.8599999999997</v>
      </c>
      <c r="X49" s="312"/>
      <c r="Y49" s="467">
        <f t="shared" si="18"/>
        <v>38310.949999999997</v>
      </c>
      <c r="Z49" s="312"/>
      <c r="AA49" s="467">
        <v>0</v>
      </c>
      <c r="AB49" s="312"/>
      <c r="AC49" s="467">
        <v>5081.67</v>
      </c>
      <c r="AD49" s="312"/>
      <c r="AE49" s="467">
        <f t="shared" si="19"/>
        <v>5081.67</v>
      </c>
      <c r="AF49" s="312"/>
      <c r="AG49" s="467">
        <v>919.22</v>
      </c>
      <c r="AH49" s="312"/>
      <c r="AI49" s="467">
        <v>240.05</v>
      </c>
      <c r="AJ49" s="312"/>
      <c r="AK49" s="467">
        <f t="shared" si="20"/>
        <v>6240.94</v>
      </c>
      <c r="AL49" s="312"/>
      <c r="AM49" s="467">
        <v>0</v>
      </c>
      <c r="AN49" s="312"/>
      <c r="AO49" s="467">
        <v>13501.5</v>
      </c>
      <c r="AP49" s="312"/>
      <c r="AQ49" s="467">
        <f t="shared" si="21"/>
        <v>13501.5</v>
      </c>
      <c r="AR49" s="312"/>
      <c r="AS49" s="467">
        <f t="shared" si="22"/>
        <v>58053.39</v>
      </c>
      <c r="AT49" s="312"/>
      <c r="AU49" s="467">
        <v>0</v>
      </c>
      <c r="AV49" s="312"/>
      <c r="AW49" s="467">
        <v>0</v>
      </c>
      <c r="AX49" s="312"/>
      <c r="AY49" s="467">
        <f t="shared" si="23"/>
        <v>84116.26</v>
      </c>
      <c r="BA49" s="537">
        <f t="shared" si="25"/>
        <v>37453.67</v>
      </c>
      <c r="BB49" s="512">
        <f t="shared" si="8"/>
        <v>46662.59</v>
      </c>
      <c r="BC49" s="542">
        <f t="shared" si="24"/>
        <v>84116.26</v>
      </c>
    </row>
    <row r="50" spans="1:55" ht="15.75" thickBot="1" x14ac:dyDescent="0.3">
      <c r="A50" s="485"/>
      <c r="B50" s="485"/>
      <c r="C50" s="485" t="s">
        <v>73</v>
      </c>
      <c r="D50" s="485"/>
      <c r="E50" s="485"/>
      <c r="F50" s="485"/>
      <c r="G50" s="315">
        <f>ROUND(SUM(G34:G49),5)</f>
        <v>17252.79</v>
      </c>
      <c r="H50" s="312"/>
      <c r="I50" s="315">
        <f>ROUND(SUM(I34:I49),5)</f>
        <v>48277.01</v>
      </c>
      <c r="J50" s="312"/>
      <c r="K50" s="315">
        <f t="shared" si="17"/>
        <v>65529.8</v>
      </c>
      <c r="L50" s="312"/>
      <c r="M50" s="315">
        <f>ROUND(SUM(M34:M49),5)</f>
        <v>85453.07</v>
      </c>
      <c r="N50" s="312"/>
      <c r="O50" s="315">
        <f>ROUND(SUM(O34:O49),5)</f>
        <v>0</v>
      </c>
      <c r="P50" s="312"/>
      <c r="Q50" s="315">
        <f>ROUND(SUM(Q34:Q49),5)</f>
        <v>0</v>
      </c>
      <c r="R50" s="312"/>
      <c r="S50" s="315">
        <f>ROUND(SUM(S34:S49),5)</f>
        <v>0</v>
      </c>
      <c r="T50" s="312"/>
      <c r="U50" s="315">
        <f>ROUND(SUM(U34:U49),5)</f>
        <v>48339.199999999997</v>
      </c>
      <c r="V50" s="312"/>
      <c r="W50" s="315">
        <f>ROUND(SUM(W34:W49),5)</f>
        <v>25040.92</v>
      </c>
      <c r="X50" s="312"/>
      <c r="Y50" s="315">
        <f t="shared" si="18"/>
        <v>73380.12</v>
      </c>
      <c r="Z50" s="312"/>
      <c r="AA50" s="315">
        <f>ROUND(SUM(AA34:AA49),5)</f>
        <v>0</v>
      </c>
      <c r="AB50" s="312"/>
      <c r="AC50" s="315">
        <f>ROUND(SUM(AC34:AC49),5)</f>
        <v>43432.59</v>
      </c>
      <c r="AD50" s="312"/>
      <c r="AE50" s="315">
        <f t="shared" si="19"/>
        <v>43432.59</v>
      </c>
      <c r="AF50" s="312"/>
      <c r="AG50" s="315">
        <f>ROUND(SUM(AG34:AG49),5)</f>
        <v>11479.91</v>
      </c>
      <c r="AH50" s="312"/>
      <c r="AI50" s="315">
        <f>ROUND(SUM(AI34:AI49),5)</f>
        <v>9509.64</v>
      </c>
      <c r="AJ50" s="312"/>
      <c r="AK50" s="315">
        <f t="shared" si="20"/>
        <v>64422.14</v>
      </c>
      <c r="AL50" s="312"/>
      <c r="AM50" s="315">
        <f>ROUND(SUM(AM34:AM49),5)</f>
        <v>0</v>
      </c>
      <c r="AN50" s="312"/>
      <c r="AO50" s="315">
        <f>ROUND(SUM(AO34:AO49),5)</f>
        <v>84633.09</v>
      </c>
      <c r="AP50" s="312"/>
      <c r="AQ50" s="315">
        <f t="shared" si="21"/>
        <v>84633.09</v>
      </c>
      <c r="AR50" s="312"/>
      <c r="AS50" s="315">
        <f t="shared" si="22"/>
        <v>222435.35</v>
      </c>
      <c r="AT50" s="312"/>
      <c r="AU50" s="315">
        <f>ROUND(SUM(AU34:AU49),5)</f>
        <v>37421.33</v>
      </c>
      <c r="AV50" s="312"/>
      <c r="AW50" s="315">
        <f>ROUND(SUM(AW34:AW49),5)</f>
        <v>0</v>
      </c>
      <c r="AX50" s="312"/>
      <c r="AY50" s="315">
        <f t="shared" si="23"/>
        <v>410839.55</v>
      </c>
      <c r="BA50" s="562">
        <f t="shared" si="25"/>
        <v>277867.26</v>
      </c>
      <c r="BB50" s="563">
        <f t="shared" si="8"/>
        <v>132972.28999999998</v>
      </c>
      <c r="BC50" s="564">
        <f t="shared" si="24"/>
        <v>410839.55</v>
      </c>
    </row>
    <row r="51" spans="1:55" ht="15.75" thickBot="1" x14ac:dyDescent="0.3">
      <c r="A51" s="485" t="s">
        <v>186</v>
      </c>
      <c r="B51" s="485"/>
      <c r="C51" s="485"/>
      <c r="D51" s="485"/>
      <c r="E51" s="485"/>
      <c r="F51" s="485"/>
      <c r="G51" s="315">
        <f>ROUND(G6+G33-G50,5)</f>
        <v>-16895.75</v>
      </c>
      <c r="H51" s="312"/>
      <c r="I51" s="315">
        <f>ROUND(I6+I33-I50,5)</f>
        <v>-33958.46</v>
      </c>
      <c r="J51" s="312"/>
      <c r="K51" s="315">
        <f t="shared" si="17"/>
        <v>-50854.21</v>
      </c>
      <c r="L51" s="312"/>
      <c r="M51" s="315">
        <f>ROUND(M6+M33-M50,5)</f>
        <v>81811.03</v>
      </c>
      <c r="N51" s="312"/>
      <c r="O51" s="315">
        <f>ROUND(O6+O33-O50,5)</f>
        <v>0</v>
      </c>
      <c r="P51" s="312"/>
      <c r="Q51" s="315">
        <f>ROUND(Q6+Q33-Q50,5)</f>
        <v>991.49</v>
      </c>
      <c r="R51" s="312"/>
      <c r="S51" s="315">
        <f>ROUND(S6+S33-S50,5)</f>
        <v>3000</v>
      </c>
      <c r="T51" s="312"/>
      <c r="U51" s="315">
        <f>ROUND(U6+U33-U50,5)</f>
        <v>26660.799999999999</v>
      </c>
      <c r="V51" s="312"/>
      <c r="W51" s="315">
        <f>ROUND(W6+W33-W50,5)</f>
        <v>-25040.92</v>
      </c>
      <c r="X51" s="312"/>
      <c r="Y51" s="315">
        <f t="shared" si="18"/>
        <v>5611.37</v>
      </c>
      <c r="Z51" s="312"/>
      <c r="AA51" s="315">
        <f>ROUND(AA6+AA33-AA50,5)</f>
        <v>0</v>
      </c>
      <c r="AB51" s="312"/>
      <c r="AC51" s="315">
        <f>ROUND(AC6+AC33-AC50,5)</f>
        <v>-32002.59</v>
      </c>
      <c r="AD51" s="312"/>
      <c r="AE51" s="315">
        <f t="shared" si="19"/>
        <v>-32002.59</v>
      </c>
      <c r="AF51" s="312"/>
      <c r="AG51" s="315">
        <f>ROUND(AG6+AG33-AG50,5)</f>
        <v>-11479.91</v>
      </c>
      <c r="AH51" s="312"/>
      <c r="AI51" s="315">
        <f>ROUND(AI6+AI33-AI50,5)</f>
        <v>-4679.82</v>
      </c>
      <c r="AJ51" s="312"/>
      <c r="AK51" s="315">
        <f t="shared" si="20"/>
        <v>-48162.32</v>
      </c>
      <c r="AL51" s="312"/>
      <c r="AM51" s="315">
        <f>ROUND(AM6+AM33-AM50,5)</f>
        <v>0</v>
      </c>
      <c r="AN51" s="312"/>
      <c r="AO51" s="315">
        <f>ROUND(AO6+AO33-AO50,5)</f>
        <v>-13414.99</v>
      </c>
      <c r="AP51" s="312"/>
      <c r="AQ51" s="315">
        <f t="shared" si="21"/>
        <v>-13414.99</v>
      </c>
      <c r="AR51" s="312"/>
      <c r="AS51" s="315">
        <f t="shared" si="22"/>
        <v>-55965.94</v>
      </c>
      <c r="AT51" s="312"/>
      <c r="AU51" s="315">
        <f>ROUND(AU6+AU33-AU50,5)</f>
        <v>-37421.33</v>
      </c>
      <c r="AV51" s="312"/>
      <c r="AW51" s="315">
        <f>ROUND(AW6+AW33-AW50,5)</f>
        <v>0</v>
      </c>
      <c r="AX51" s="312"/>
      <c r="AY51" s="315">
        <f t="shared" si="23"/>
        <v>-62430.45</v>
      </c>
      <c r="BA51" s="559">
        <f t="shared" si="25"/>
        <v>-78676.259999999995</v>
      </c>
      <c r="BB51" s="512">
        <f t="shared" si="8"/>
        <v>16245.81</v>
      </c>
      <c r="BC51" s="558">
        <f t="shared" si="24"/>
        <v>-62430.45</v>
      </c>
    </row>
    <row r="52" spans="1:55" s="317" customFormat="1" ht="15.75" thickBot="1" x14ac:dyDescent="0.3">
      <c r="A52" s="485"/>
      <c r="B52" s="485"/>
      <c r="C52" s="485"/>
      <c r="D52" s="485"/>
      <c r="E52" s="485"/>
      <c r="F52" s="485"/>
      <c r="G52" s="316">
        <f>G51</f>
        <v>-16895.75</v>
      </c>
      <c r="H52" s="485"/>
      <c r="I52" s="316">
        <f>I51</f>
        <v>-33958.46</v>
      </c>
      <c r="J52" s="485"/>
      <c r="K52" s="316">
        <f t="shared" si="17"/>
        <v>-50854.21</v>
      </c>
      <c r="L52" s="485"/>
      <c r="M52" s="316">
        <f>M51</f>
        <v>81811.03</v>
      </c>
      <c r="N52" s="485"/>
      <c r="O52" s="316">
        <f>O51</f>
        <v>0</v>
      </c>
      <c r="P52" s="485"/>
      <c r="Q52" s="316">
        <f>Q51</f>
        <v>991.49</v>
      </c>
      <c r="R52" s="485"/>
      <c r="S52" s="316">
        <f>S51</f>
        <v>3000</v>
      </c>
      <c r="T52" s="485"/>
      <c r="U52" s="316">
        <f>U51</f>
        <v>26660.799999999999</v>
      </c>
      <c r="V52" s="485"/>
      <c r="W52" s="316">
        <f>W51</f>
        <v>-25040.92</v>
      </c>
      <c r="X52" s="485"/>
      <c r="Y52" s="316">
        <f t="shared" si="18"/>
        <v>5611.37</v>
      </c>
      <c r="Z52" s="485"/>
      <c r="AA52" s="316">
        <f>AA51</f>
        <v>0</v>
      </c>
      <c r="AB52" s="485"/>
      <c r="AC52" s="316">
        <f>AC51</f>
        <v>-32002.59</v>
      </c>
      <c r="AD52" s="485"/>
      <c r="AE52" s="316">
        <f t="shared" si="19"/>
        <v>-32002.59</v>
      </c>
      <c r="AF52" s="485"/>
      <c r="AG52" s="316">
        <f>AG51</f>
        <v>-11479.91</v>
      </c>
      <c r="AH52" s="485"/>
      <c r="AI52" s="316">
        <f>AI51</f>
        <v>-4679.82</v>
      </c>
      <c r="AJ52" s="485"/>
      <c r="AK52" s="316">
        <f t="shared" si="20"/>
        <v>-48162.32</v>
      </c>
      <c r="AL52" s="485"/>
      <c r="AM52" s="316">
        <f>AM51</f>
        <v>0</v>
      </c>
      <c r="AN52" s="485"/>
      <c r="AO52" s="316">
        <f>AO51</f>
        <v>-13414.99</v>
      </c>
      <c r="AP52" s="485"/>
      <c r="AQ52" s="316">
        <f t="shared" si="21"/>
        <v>-13414.99</v>
      </c>
      <c r="AR52" s="485"/>
      <c r="AS52" s="316">
        <f t="shared" si="22"/>
        <v>-55965.94</v>
      </c>
      <c r="AT52" s="485"/>
      <c r="AU52" s="316">
        <f>AU51</f>
        <v>-37421.33</v>
      </c>
      <c r="AV52" s="485"/>
      <c r="AW52" s="316">
        <f>AW51</f>
        <v>0</v>
      </c>
      <c r="AX52" s="485"/>
      <c r="AY52" s="316">
        <f t="shared" si="23"/>
        <v>-62430.45</v>
      </c>
      <c r="BA52" s="565">
        <f t="shared" si="25"/>
        <v>-78676.259999999995</v>
      </c>
      <c r="BB52" s="566">
        <f t="shared" si="8"/>
        <v>16245.81</v>
      </c>
      <c r="BC52" s="567">
        <f t="shared" si="24"/>
        <v>-62430.45</v>
      </c>
    </row>
    <row r="53" spans="1:55" ht="15.75" thickTop="1" x14ac:dyDescent="0.25"/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38"/>
  <sheetViews>
    <sheetView workbookViewId="0">
      <pane xSplit="1" topLeftCell="BO1" activePane="topRight" state="frozen"/>
      <selection pane="topRight" activeCell="CU24" sqref="CU24"/>
    </sheetView>
  </sheetViews>
  <sheetFormatPr defaultRowHeight="15" x14ac:dyDescent="0.25"/>
  <cols>
    <col min="1" max="4" width="3" style="485" customWidth="1"/>
    <col min="5" max="5" width="33" style="485" customWidth="1"/>
    <col min="6" max="6" width="12.28515625" style="307" bestFit="1" customWidth="1"/>
    <col min="7" max="7" width="2.28515625" style="307" customWidth="1"/>
    <col min="8" max="8" width="8.42578125" style="307" bestFit="1" customWidth="1"/>
    <col min="9" max="9" width="2.28515625" style="307" customWidth="1"/>
    <col min="10" max="10" width="12.28515625" style="307" bestFit="1" customWidth="1"/>
    <col min="11" max="11" width="2.28515625" style="307" customWidth="1"/>
    <col min="12" max="12" width="8.42578125" style="307" bestFit="1" customWidth="1"/>
    <col min="13" max="13" width="2.28515625" style="307" customWidth="1"/>
    <col min="14" max="14" width="12.28515625" style="583" bestFit="1" customWidth="1"/>
    <col min="15" max="15" width="2.28515625" style="583" customWidth="1"/>
    <col min="16" max="16" width="8.42578125" style="583" bestFit="1" customWidth="1"/>
    <col min="17" max="17" width="2.28515625" style="307" customWidth="1"/>
    <col min="18" max="18" width="12.28515625" style="583" bestFit="1" customWidth="1"/>
    <col min="19" max="19" width="2.28515625" style="583" customWidth="1"/>
    <col min="20" max="20" width="8.7109375" style="583" bestFit="1" customWidth="1"/>
    <col min="21" max="21" width="2.28515625" style="307" customWidth="1"/>
    <col min="22" max="22" width="12.28515625" style="307" bestFit="1" customWidth="1"/>
    <col min="23" max="23" width="2.28515625" style="307" customWidth="1"/>
    <col min="24" max="24" width="6.5703125" style="307" bestFit="1" customWidth="1"/>
    <col min="25" max="25" width="2.28515625" style="307" customWidth="1"/>
    <col min="26" max="26" width="12.28515625" style="307" bestFit="1" customWidth="1"/>
    <col min="27" max="27" width="2.28515625" style="307" customWidth="1"/>
    <col min="28" max="28" width="6.5703125" style="307" bestFit="1" customWidth="1"/>
    <col min="29" max="29" width="2.28515625" style="307" customWidth="1"/>
    <col min="30" max="30" width="12.28515625" style="307" bestFit="1" customWidth="1"/>
    <col min="31" max="31" width="2.28515625" style="307" customWidth="1"/>
    <col min="32" max="32" width="6.5703125" style="307" bestFit="1" customWidth="1"/>
    <col min="33" max="33" width="2.28515625" style="307" customWidth="1"/>
    <col min="34" max="34" width="12.28515625" style="307" bestFit="1" customWidth="1"/>
    <col min="35" max="35" width="2.28515625" style="307" customWidth="1"/>
    <col min="36" max="36" width="8.42578125" style="307" bestFit="1" customWidth="1"/>
    <col min="37" max="37" width="2.28515625" style="307" customWidth="1"/>
    <col min="38" max="38" width="12.28515625" style="307" bestFit="1" customWidth="1"/>
    <col min="39" max="39" width="2.28515625" style="307" customWidth="1"/>
    <col min="40" max="40" width="8.7109375" style="307" bestFit="1" customWidth="1"/>
    <col min="41" max="41" width="2.28515625" style="307" customWidth="1"/>
    <col min="42" max="42" width="12.28515625" style="557" bestFit="1" customWidth="1"/>
    <col min="43" max="43" width="2.28515625" style="557" customWidth="1"/>
    <col min="44" max="44" width="8.7109375" style="557" bestFit="1" customWidth="1"/>
    <col min="45" max="45" width="2.28515625" style="307" customWidth="1"/>
    <col min="46" max="46" width="12.28515625" style="307" bestFit="1" customWidth="1"/>
    <col min="47" max="47" width="2.28515625" style="307" customWidth="1"/>
    <col min="48" max="48" width="6.5703125" style="307" bestFit="1" customWidth="1"/>
    <col min="49" max="49" width="2.28515625" style="307" customWidth="1"/>
    <col min="50" max="50" width="12.28515625" style="307" bestFit="1" customWidth="1"/>
    <col min="51" max="51" width="2.28515625" style="307" customWidth="1"/>
    <col min="52" max="52" width="8.7109375" style="307" bestFit="1" customWidth="1"/>
    <col min="53" max="53" width="2.28515625" style="307" customWidth="1"/>
    <col min="54" max="54" width="12.28515625" style="557" bestFit="1" customWidth="1"/>
    <col min="55" max="55" width="2.28515625" style="557" customWidth="1"/>
    <col min="56" max="56" width="8.7109375" style="557" bestFit="1" customWidth="1"/>
    <col min="57" max="57" width="2.28515625" style="307" customWidth="1"/>
    <col min="58" max="58" width="12.28515625" style="583" bestFit="1" customWidth="1"/>
    <col min="59" max="59" width="2.28515625" style="583" customWidth="1"/>
    <col min="60" max="60" width="8.42578125" style="583" bestFit="1" customWidth="1"/>
    <col min="61" max="61" width="2.28515625" style="307" customWidth="1"/>
    <col min="62" max="62" width="12.28515625" style="583" bestFit="1" customWidth="1"/>
    <col min="63" max="63" width="2.28515625" style="583" customWidth="1"/>
    <col min="64" max="64" width="7.85546875" style="583" bestFit="1" customWidth="1"/>
    <col min="65" max="65" width="2.28515625" style="307" customWidth="1"/>
    <col min="66" max="66" width="12.28515625" style="520" bestFit="1" customWidth="1"/>
    <col min="67" max="67" width="2.28515625" style="520" customWidth="1"/>
    <col min="68" max="68" width="8.7109375" style="520" bestFit="1" customWidth="1"/>
    <col min="69" max="69" width="2.28515625" style="307" customWidth="1"/>
    <col min="70" max="70" width="12.28515625" style="307" bestFit="1" customWidth="1"/>
    <col min="71" max="71" width="2.28515625" style="307" customWidth="1"/>
    <col min="72" max="72" width="6.5703125" style="307" bestFit="1" customWidth="1"/>
    <col min="73" max="73" width="2.28515625" style="307" customWidth="1"/>
    <col min="74" max="74" width="12.28515625" style="307" bestFit="1" customWidth="1"/>
    <col min="75" max="75" width="2.28515625" style="307" customWidth="1"/>
    <col min="76" max="76" width="8.7109375" style="307" bestFit="1" customWidth="1"/>
    <col min="77" max="77" width="2.28515625" style="307" customWidth="1"/>
    <col min="78" max="78" width="12.28515625" style="557" bestFit="1" customWidth="1"/>
    <col min="79" max="79" width="2.28515625" style="557" customWidth="1"/>
    <col min="80" max="80" width="8.7109375" style="557" bestFit="1" customWidth="1"/>
    <col min="81" max="81" width="2.28515625" style="307" customWidth="1"/>
    <col min="82" max="82" width="12.28515625" style="307" bestFit="1" customWidth="1"/>
    <col min="83" max="83" width="2.28515625" style="307" customWidth="1"/>
    <col min="84" max="84" width="8.7109375" style="307" bestFit="1" customWidth="1"/>
    <col min="85" max="85" width="2.28515625" style="307" customWidth="1"/>
    <col min="86" max="86" width="12.28515625" style="583" bestFit="1" customWidth="1"/>
    <col min="87" max="87" width="2.28515625" style="583" customWidth="1"/>
    <col min="88" max="88" width="6.5703125" style="583" bestFit="1" customWidth="1"/>
    <col min="89" max="89" width="2.28515625" style="519" customWidth="1"/>
    <col min="90" max="90" width="12.28515625" style="307" bestFit="1" customWidth="1"/>
    <col min="91" max="91" width="2.28515625" style="307" customWidth="1"/>
    <col min="92" max="92" width="6.5703125" style="307" bestFit="1" customWidth="1"/>
    <col min="93" max="93" width="2.28515625" style="307" customWidth="1"/>
    <col min="94" max="94" width="12.28515625" style="307" bestFit="1" customWidth="1"/>
    <col min="95" max="95" width="2.28515625" style="307" customWidth="1"/>
    <col min="96" max="96" width="11.5703125" style="307" bestFit="1" customWidth="1"/>
    <col min="97" max="97" width="9.140625" style="462"/>
    <col min="98" max="98" width="19.140625" style="462" bestFit="1" customWidth="1"/>
    <col min="99" max="99" width="16.85546875" style="462" bestFit="1" customWidth="1"/>
    <col min="100" max="100" width="13.140625" style="462" customWidth="1"/>
    <col min="101" max="16384" width="9.140625" style="462"/>
  </cols>
  <sheetData>
    <row r="1" spans="1:101" x14ac:dyDescent="0.25">
      <c r="F1" s="305" t="s">
        <v>124</v>
      </c>
      <c r="G1" s="306"/>
      <c r="H1" s="306"/>
      <c r="J1" s="305" t="s">
        <v>126</v>
      </c>
      <c r="K1" s="306"/>
      <c r="L1" s="306"/>
      <c r="N1" s="570"/>
      <c r="O1" s="570"/>
      <c r="P1" s="570"/>
      <c r="R1" s="570"/>
      <c r="S1" s="570"/>
      <c r="T1" s="570"/>
      <c r="V1" s="305" t="s">
        <v>408</v>
      </c>
      <c r="W1" s="306"/>
      <c r="X1" s="306"/>
      <c r="Z1" s="305" t="s">
        <v>368</v>
      </c>
      <c r="AA1" s="306"/>
      <c r="AB1" s="306"/>
      <c r="AD1" s="305" t="s">
        <v>369</v>
      </c>
      <c r="AE1" s="306"/>
      <c r="AF1" s="306"/>
      <c r="AH1" s="305" t="s">
        <v>370</v>
      </c>
      <c r="AI1" s="306"/>
      <c r="AJ1" s="306"/>
      <c r="AL1" s="305" t="s">
        <v>371</v>
      </c>
      <c r="AM1" s="306"/>
      <c r="AN1" s="306"/>
      <c r="AP1" s="584" t="s">
        <v>372</v>
      </c>
      <c r="AQ1" s="585"/>
      <c r="AR1" s="585"/>
      <c r="AT1" s="305" t="s">
        <v>373</v>
      </c>
      <c r="AU1" s="306"/>
      <c r="AV1" s="306"/>
      <c r="AX1" s="305" t="s">
        <v>374</v>
      </c>
      <c r="AY1" s="306"/>
      <c r="AZ1" s="306"/>
      <c r="BB1" s="584" t="s">
        <v>375</v>
      </c>
      <c r="BC1" s="585"/>
      <c r="BD1" s="585"/>
      <c r="BF1" s="571" t="s">
        <v>376</v>
      </c>
      <c r="BG1" s="570"/>
      <c r="BH1" s="570"/>
      <c r="BJ1" s="571" t="s">
        <v>377</v>
      </c>
      <c r="BK1" s="570"/>
      <c r="BL1" s="570"/>
      <c r="BN1" s="305" t="s">
        <v>378</v>
      </c>
      <c r="BO1" s="306"/>
      <c r="BP1" s="306"/>
      <c r="BR1" s="305" t="s">
        <v>379</v>
      </c>
      <c r="BS1" s="306"/>
      <c r="BT1" s="306"/>
      <c r="BV1" s="305" t="s">
        <v>380</v>
      </c>
      <c r="BW1" s="306"/>
      <c r="BX1" s="306"/>
      <c r="BZ1" s="584" t="s">
        <v>381</v>
      </c>
      <c r="CA1" s="585"/>
      <c r="CB1" s="585"/>
      <c r="CD1" s="306"/>
      <c r="CE1" s="306"/>
      <c r="CF1" s="306"/>
      <c r="CH1" s="570"/>
      <c r="CI1" s="570"/>
      <c r="CJ1" s="570"/>
      <c r="CK1" s="307"/>
      <c r="CL1" s="306"/>
      <c r="CM1" s="306"/>
      <c r="CN1" s="306"/>
      <c r="CP1" s="306"/>
      <c r="CQ1" s="306"/>
      <c r="CR1" s="306"/>
    </row>
    <row r="2" spans="1:101" ht="15.75" thickBot="1" x14ac:dyDescent="0.3">
      <c r="F2" s="305" t="s">
        <v>145</v>
      </c>
      <c r="G2" s="308"/>
      <c r="H2" s="306"/>
      <c r="J2" s="305" t="s">
        <v>145</v>
      </c>
      <c r="K2" s="308"/>
      <c r="L2" s="306"/>
      <c r="N2" s="571" t="s">
        <v>146</v>
      </c>
      <c r="O2" s="572"/>
      <c r="P2" s="570"/>
      <c r="R2" s="571" t="s">
        <v>147</v>
      </c>
      <c r="S2" s="572"/>
      <c r="T2" s="570"/>
      <c r="V2" s="305" t="s">
        <v>384</v>
      </c>
      <c r="W2" s="308"/>
      <c r="X2" s="306"/>
      <c r="Z2" s="305" t="s">
        <v>384</v>
      </c>
      <c r="AA2" s="308"/>
      <c r="AB2" s="306"/>
      <c r="AD2" s="305" t="s">
        <v>384</v>
      </c>
      <c r="AE2" s="308"/>
      <c r="AF2" s="306"/>
      <c r="AH2" s="305" t="s">
        <v>384</v>
      </c>
      <c r="AI2" s="308"/>
      <c r="AJ2" s="306"/>
      <c r="AL2" s="305" t="s">
        <v>384</v>
      </c>
      <c r="AM2" s="308"/>
      <c r="AN2" s="306"/>
      <c r="AP2" s="584" t="s">
        <v>149</v>
      </c>
      <c r="AQ2" s="586"/>
      <c r="AR2" s="585"/>
      <c r="AT2" s="305" t="s">
        <v>385</v>
      </c>
      <c r="AU2" s="308"/>
      <c r="AV2" s="306"/>
      <c r="AX2" s="305" t="s">
        <v>385</v>
      </c>
      <c r="AY2" s="308"/>
      <c r="AZ2" s="306"/>
      <c r="BB2" s="584" t="s">
        <v>386</v>
      </c>
      <c r="BC2" s="586"/>
      <c r="BD2" s="585"/>
      <c r="BF2" s="571" t="s">
        <v>386</v>
      </c>
      <c r="BG2" s="572"/>
      <c r="BH2" s="570"/>
      <c r="BJ2" s="571" t="s">
        <v>386</v>
      </c>
      <c r="BK2" s="572"/>
      <c r="BL2" s="570"/>
      <c r="BN2" s="305" t="s">
        <v>149</v>
      </c>
      <c r="BO2" s="308"/>
      <c r="BP2" s="306"/>
      <c r="BR2" s="305" t="s">
        <v>387</v>
      </c>
      <c r="BS2" s="308"/>
      <c r="BT2" s="306"/>
      <c r="BV2" s="305" t="s">
        <v>387</v>
      </c>
      <c r="BW2" s="308"/>
      <c r="BX2" s="306"/>
      <c r="BZ2" s="584" t="s">
        <v>149</v>
      </c>
      <c r="CA2" s="586"/>
      <c r="CB2" s="585"/>
      <c r="CD2" s="305" t="s">
        <v>152</v>
      </c>
      <c r="CE2" s="308"/>
      <c r="CF2" s="306"/>
      <c r="CH2" s="571" t="s">
        <v>503</v>
      </c>
      <c r="CI2" s="572"/>
      <c r="CJ2" s="570"/>
      <c r="CK2" s="307"/>
      <c r="CL2" s="305" t="s">
        <v>155</v>
      </c>
      <c r="CM2" s="308"/>
      <c r="CN2" s="306"/>
      <c r="CP2" s="305" t="s">
        <v>156</v>
      </c>
      <c r="CQ2" s="308"/>
      <c r="CR2" s="306"/>
    </row>
    <row r="3" spans="1:101" s="466" customFormat="1" ht="16.5" thickTop="1" thickBot="1" x14ac:dyDescent="0.3">
      <c r="A3" s="465"/>
      <c r="B3" s="465"/>
      <c r="C3" s="465"/>
      <c r="D3" s="465"/>
      <c r="E3" s="465"/>
      <c r="F3" s="309" t="s">
        <v>506</v>
      </c>
      <c r="G3" s="310"/>
      <c r="H3" s="309" t="s">
        <v>56</v>
      </c>
      <c r="I3" s="310"/>
      <c r="J3" s="309" t="s">
        <v>506</v>
      </c>
      <c r="K3" s="310"/>
      <c r="L3" s="309" t="s">
        <v>56</v>
      </c>
      <c r="M3" s="310"/>
      <c r="N3" s="573" t="s">
        <v>506</v>
      </c>
      <c r="O3" s="574"/>
      <c r="P3" s="573" t="s">
        <v>56</v>
      </c>
      <c r="Q3" s="310"/>
      <c r="R3" s="573" t="s">
        <v>506</v>
      </c>
      <c r="S3" s="574"/>
      <c r="T3" s="573" t="s">
        <v>56</v>
      </c>
      <c r="U3" s="310"/>
      <c r="V3" s="309" t="s">
        <v>506</v>
      </c>
      <c r="W3" s="310"/>
      <c r="X3" s="309" t="s">
        <v>56</v>
      </c>
      <c r="Y3" s="310"/>
      <c r="Z3" s="309" t="s">
        <v>506</v>
      </c>
      <c r="AA3" s="310"/>
      <c r="AB3" s="309" t="s">
        <v>56</v>
      </c>
      <c r="AC3" s="310"/>
      <c r="AD3" s="309" t="s">
        <v>506</v>
      </c>
      <c r="AE3" s="310"/>
      <c r="AF3" s="309" t="s">
        <v>56</v>
      </c>
      <c r="AG3" s="310"/>
      <c r="AH3" s="309" t="s">
        <v>506</v>
      </c>
      <c r="AI3" s="310"/>
      <c r="AJ3" s="309" t="s">
        <v>56</v>
      </c>
      <c r="AK3" s="310"/>
      <c r="AL3" s="309" t="s">
        <v>506</v>
      </c>
      <c r="AM3" s="310"/>
      <c r="AN3" s="309" t="s">
        <v>56</v>
      </c>
      <c r="AO3" s="310"/>
      <c r="AP3" s="587" t="s">
        <v>506</v>
      </c>
      <c r="AQ3" s="588"/>
      <c r="AR3" s="587" t="s">
        <v>56</v>
      </c>
      <c r="AS3" s="310"/>
      <c r="AT3" s="309" t="s">
        <v>506</v>
      </c>
      <c r="AU3" s="310"/>
      <c r="AV3" s="309" t="s">
        <v>56</v>
      </c>
      <c r="AW3" s="310"/>
      <c r="AX3" s="309" t="s">
        <v>506</v>
      </c>
      <c r="AY3" s="310"/>
      <c r="AZ3" s="309" t="s">
        <v>56</v>
      </c>
      <c r="BA3" s="310"/>
      <c r="BB3" s="587" t="s">
        <v>506</v>
      </c>
      <c r="BC3" s="588"/>
      <c r="BD3" s="587" t="s">
        <v>56</v>
      </c>
      <c r="BE3" s="310"/>
      <c r="BF3" s="573" t="s">
        <v>506</v>
      </c>
      <c r="BG3" s="574"/>
      <c r="BH3" s="573" t="s">
        <v>56</v>
      </c>
      <c r="BI3" s="310"/>
      <c r="BJ3" s="573" t="s">
        <v>506</v>
      </c>
      <c r="BK3" s="574"/>
      <c r="BL3" s="573" t="s">
        <v>56</v>
      </c>
      <c r="BM3" s="310"/>
      <c r="BN3" s="309" t="s">
        <v>506</v>
      </c>
      <c r="BO3" s="310"/>
      <c r="BP3" s="309" t="s">
        <v>56</v>
      </c>
      <c r="BQ3" s="310"/>
      <c r="BR3" s="309" t="s">
        <v>506</v>
      </c>
      <c r="BS3" s="310"/>
      <c r="BT3" s="309" t="s">
        <v>56</v>
      </c>
      <c r="BU3" s="310"/>
      <c r="BV3" s="309" t="s">
        <v>506</v>
      </c>
      <c r="BW3" s="310"/>
      <c r="BX3" s="309" t="s">
        <v>56</v>
      </c>
      <c r="BY3" s="310"/>
      <c r="BZ3" s="587" t="s">
        <v>506</v>
      </c>
      <c r="CA3" s="588"/>
      <c r="CB3" s="587" t="s">
        <v>56</v>
      </c>
      <c r="CC3" s="310"/>
      <c r="CD3" s="309" t="s">
        <v>506</v>
      </c>
      <c r="CE3" s="310"/>
      <c r="CF3" s="309" t="s">
        <v>56</v>
      </c>
      <c r="CG3" s="310"/>
      <c r="CH3" s="573" t="s">
        <v>506</v>
      </c>
      <c r="CI3" s="574"/>
      <c r="CJ3" s="573" t="s">
        <v>56</v>
      </c>
      <c r="CK3" s="310"/>
      <c r="CL3" s="309" t="s">
        <v>506</v>
      </c>
      <c r="CM3" s="310"/>
      <c r="CN3" s="309" t="s">
        <v>56</v>
      </c>
      <c r="CO3" s="310"/>
      <c r="CP3" s="309" t="s">
        <v>506</v>
      </c>
      <c r="CQ3" s="310"/>
      <c r="CR3" s="309" t="s">
        <v>56</v>
      </c>
      <c r="CT3" s="524" t="s">
        <v>409</v>
      </c>
      <c r="CU3" s="521" t="s">
        <v>410</v>
      </c>
      <c r="CV3" s="503" t="s">
        <v>411</v>
      </c>
      <c r="CW3" s="503"/>
    </row>
    <row r="4" spans="1:101" ht="15.75" thickTop="1" x14ac:dyDescent="0.25">
      <c r="B4" s="485" t="s">
        <v>157</v>
      </c>
      <c r="F4" s="468"/>
      <c r="G4" s="312"/>
      <c r="H4" s="468"/>
      <c r="I4" s="312"/>
      <c r="J4" s="468"/>
      <c r="K4" s="312"/>
      <c r="L4" s="468"/>
      <c r="M4" s="312"/>
      <c r="N4" s="575"/>
      <c r="O4" s="576"/>
      <c r="P4" s="575"/>
      <c r="Q4" s="312"/>
      <c r="R4" s="575"/>
      <c r="S4" s="576"/>
      <c r="T4" s="575"/>
      <c r="U4" s="312"/>
      <c r="V4" s="468"/>
      <c r="W4" s="312"/>
      <c r="X4" s="312"/>
      <c r="Y4" s="312"/>
      <c r="Z4" s="468"/>
      <c r="AA4" s="312"/>
      <c r="AB4" s="312"/>
      <c r="AC4" s="312"/>
      <c r="AD4" s="468"/>
      <c r="AE4" s="312"/>
      <c r="AF4" s="312"/>
      <c r="AG4" s="312"/>
      <c r="AH4" s="468"/>
      <c r="AI4" s="312"/>
      <c r="AJ4" s="468"/>
      <c r="AK4" s="312"/>
      <c r="AL4" s="468"/>
      <c r="AM4" s="312"/>
      <c r="AN4" s="468"/>
      <c r="AO4" s="312"/>
      <c r="AP4" s="589"/>
      <c r="AQ4" s="590"/>
      <c r="AR4" s="589"/>
      <c r="AS4" s="312"/>
      <c r="AT4" s="468"/>
      <c r="AU4" s="312"/>
      <c r="AV4" s="312"/>
      <c r="AW4" s="312"/>
      <c r="AX4" s="468"/>
      <c r="AY4" s="312"/>
      <c r="AZ4" s="468"/>
      <c r="BA4" s="312"/>
      <c r="BB4" s="589"/>
      <c r="BC4" s="590"/>
      <c r="BD4" s="589"/>
      <c r="BE4" s="312"/>
      <c r="BF4" s="575"/>
      <c r="BG4" s="576"/>
      <c r="BH4" s="575"/>
      <c r="BI4" s="312"/>
      <c r="BJ4" s="575"/>
      <c r="BK4" s="576"/>
      <c r="BL4" s="575"/>
      <c r="BM4" s="312"/>
      <c r="BN4" s="468"/>
      <c r="BO4" s="312"/>
      <c r="BP4" s="468"/>
      <c r="BQ4" s="312"/>
      <c r="BR4" s="468"/>
      <c r="BS4" s="312"/>
      <c r="BT4" s="312"/>
      <c r="BU4" s="312"/>
      <c r="BV4" s="468"/>
      <c r="BW4" s="312"/>
      <c r="BX4" s="468"/>
      <c r="BY4" s="312"/>
      <c r="BZ4" s="589"/>
      <c r="CA4" s="590"/>
      <c r="CB4" s="589"/>
      <c r="CC4" s="312"/>
      <c r="CD4" s="468"/>
      <c r="CE4" s="312"/>
      <c r="CF4" s="468"/>
      <c r="CG4" s="312"/>
      <c r="CH4" s="575"/>
      <c r="CI4" s="576"/>
      <c r="CJ4" s="576"/>
      <c r="CK4" s="312"/>
      <c r="CL4" s="468"/>
      <c r="CM4" s="312"/>
      <c r="CN4" s="468"/>
      <c r="CO4" s="312"/>
      <c r="CP4" s="468"/>
      <c r="CQ4" s="312"/>
      <c r="CR4" s="468"/>
      <c r="CT4" s="525"/>
      <c r="CU4" s="522"/>
      <c r="CV4" s="513" t="s">
        <v>2</v>
      </c>
    </row>
    <row r="5" spans="1:101" x14ac:dyDescent="0.25">
      <c r="D5" s="485" t="s">
        <v>158</v>
      </c>
      <c r="F5" s="468"/>
      <c r="G5" s="312"/>
      <c r="H5" s="468"/>
      <c r="I5" s="312"/>
      <c r="J5" s="468"/>
      <c r="K5" s="312"/>
      <c r="L5" s="468"/>
      <c r="M5" s="312"/>
      <c r="N5" s="575"/>
      <c r="O5" s="576"/>
      <c r="P5" s="575"/>
      <c r="Q5" s="312"/>
      <c r="R5" s="575"/>
      <c r="S5" s="576"/>
      <c r="T5" s="575"/>
      <c r="U5" s="312"/>
      <c r="V5" s="468"/>
      <c r="W5" s="312"/>
      <c r="X5" s="312"/>
      <c r="Y5" s="312"/>
      <c r="Z5" s="468"/>
      <c r="AA5" s="312"/>
      <c r="AB5" s="312"/>
      <c r="AC5" s="312"/>
      <c r="AD5" s="468"/>
      <c r="AE5" s="312"/>
      <c r="AF5" s="312"/>
      <c r="AG5" s="312"/>
      <c r="AH5" s="468"/>
      <c r="AI5" s="312"/>
      <c r="AJ5" s="468"/>
      <c r="AK5" s="312"/>
      <c r="AL5" s="468"/>
      <c r="AM5" s="312"/>
      <c r="AN5" s="468"/>
      <c r="AO5" s="312"/>
      <c r="AP5" s="589"/>
      <c r="AQ5" s="590"/>
      <c r="AR5" s="589"/>
      <c r="AS5" s="312"/>
      <c r="AT5" s="468"/>
      <c r="AU5" s="312"/>
      <c r="AV5" s="312"/>
      <c r="AW5" s="312"/>
      <c r="AX5" s="468"/>
      <c r="AY5" s="312"/>
      <c r="AZ5" s="468"/>
      <c r="BA5" s="312"/>
      <c r="BB5" s="589"/>
      <c r="BC5" s="590"/>
      <c r="BD5" s="589"/>
      <c r="BE5" s="312"/>
      <c r="BF5" s="575"/>
      <c r="BG5" s="576"/>
      <c r="BH5" s="575"/>
      <c r="BI5" s="312"/>
      <c r="BJ5" s="575"/>
      <c r="BK5" s="576"/>
      <c r="BL5" s="575"/>
      <c r="BM5" s="312"/>
      <c r="BN5" s="468"/>
      <c r="BO5" s="312"/>
      <c r="BP5" s="468"/>
      <c r="BQ5" s="312"/>
      <c r="BR5" s="468"/>
      <c r="BS5" s="312"/>
      <c r="BT5" s="312"/>
      <c r="BU5" s="312"/>
      <c r="BV5" s="468"/>
      <c r="BW5" s="312"/>
      <c r="BX5" s="468"/>
      <c r="BY5" s="312"/>
      <c r="BZ5" s="589"/>
      <c r="CA5" s="590"/>
      <c r="CB5" s="589"/>
      <c r="CC5" s="312"/>
      <c r="CD5" s="468"/>
      <c r="CE5" s="312"/>
      <c r="CF5" s="468"/>
      <c r="CG5" s="312"/>
      <c r="CH5" s="575"/>
      <c r="CI5" s="576"/>
      <c r="CJ5" s="576"/>
      <c r="CK5" s="312"/>
      <c r="CL5" s="468"/>
      <c r="CM5" s="312"/>
      <c r="CN5" s="468"/>
      <c r="CO5" s="312"/>
      <c r="CP5" s="468"/>
      <c r="CQ5" s="312"/>
      <c r="CR5" s="468"/>
      <c r="CT5" s="525"/>
      <c r="CU5" s="522"/>
    </row>
    <row r="6" spans="1:101" x14ac:dyDescent="0.25">
      <c r="E6" s="485" t="s">
        <v>160</v>
      </c>
      <c r="F6" s="468">
        <v>357.04</v>
      </c>
      <c r="G6" s="312"/>
      <c r="H6" s="468">
        <v>550</v>
      </c>
      <c r="I6" s="312"/>
      <c r="J6" s="468">
        <v>12417.63</v>
      </c>
      <c r="K6" s="312"/>
      <c r="L6" s="468">
        <v>9400</v>
      </c>
      <c r="M6" s="312"/>
      <c r="N6" s="575">
        <f t="shared" ref="N6:N11" si="0">ROUND(F6+J6,5)</f>
        <v>12774.67</v>
      </c>
      <c r="O6" s="576"/>
      <c r="P6" s="575">
        <f>ROUND(H6+L6,5)</f>
        <v>9950</v>
      </c>
      <c r="Q6" s="312"/>
      <c r="R6" s="575">
        <v>167213.57999999999</v>
      </c>
      <c r="S6" s="576"/>
      <c r="T6" s="575">
        <v>155000</v>
      </c>
      <c r="U6" s="312"/>
      <c r="V6" s="468">
        <v>0</v>
      </c>
      <c r="W6" s="312"/>
      <c r="X6" s="312"/>
      <c r="Y6" s="312"/>
      <c r="Z6" s="468">
        <v>0</v>
      </c>
      <c r="AA6" s="312"/>
      <c r="AB6" s="312"/>
      <c r="AC6" s="312"/>
      <c r="AD6" s="468">
        <v>3000</v>
      </c>
      <c r="AE6" s="312"/>
      <c r="AF6" s="312"/>
      <c r="AG6" s="312"/>
      <c r="AH6" s="468">
        <v>75000</v>
      </c>
      <c r="AI6" s="312"/>
      <c r="AJ6" s="468">
        <v>0</v>
      </c>
      <c r="AK6" s="312"/>
      <c r="AL6" s="468">
        <v>0</v>
      </c>
      <c r="AM6" s="312"/>
      <c r="AN6" s="468">
        <v>125000</v>
      </c>
      <c r="AO6" s="312"/>
      <c r="AP6" s="589">
        <f t="shared" ref="AP6:AP11" si="1">ROUND(V6+Z6+AD6+AH6+AL6,5)</f>
        <v>78000</v>
      </c>
      <c r="AQ6" s="590"/>
      <c r="AR6" s="589">
        <f>ROUND(X6+AB6+AF6+AJ6+AN6,5)</f>
        <v>125000</v>
      </c>
      <c r="AS6" s="312"/>
      <c r="AT6" s="468">
        <v>0</v>
      </c>
      <c r="AU6" s="312"/>
      <c r="AV6" s="312"/>
      <c r="AW6" s="312"/>
      <c r="AX6" s="468">
        <v>11430</v>
      </c>
      <c r="AY6" s="312"/>
      <c r="AZ6" s="468">
        <v>125000</v>
      </c>
      <c r="BA6" s="312"/>
      <c r="BB6" s="589">
        <f t="shared" ref="BB6:BB11" si="2">ROUND(AT6+AX6,5)</f>
        <v>11430</v>
      </c>
      <c r="BC6" s="590"/>
      <c r="BD6" s="589">
        <f>ROUND(AV6+AZ6,5)</f>
        <v>125000</v>
      </c>
      <c r="BE6" s="312"/>
      <c r="BF6" s="575">
        <v>0</v>
      </c>
      <c r="BG6" s="576"/>
      <c r="BH6" s="575"/>
      <c r="BI6" s="312"/>
      <c r="BJ6" s="575">
        <v>0</v>
      </c>
      <c r="BK6" s="576"/>
      <c r="BL6" s="575">
        <v>0</v>
      </c>
      <c r="BM6" s="312"/>
      <c r="BN6" s="468">
        <f t="shared" ref="BN6:BN11" si="3">ROUND(BB6+BF6+BJ6,5)</f>
        <v>11430</v>
      </c>
      <c r="BO6" s="312"/>
      <c r="BP6" s="468">
        <f>ROUND(BD6+BH6+BL6,5)</f>
        <v>125000</v>
      </c>
      <c r="BQ6" s="312"/>
      <c r="BR6" s="468">
        <v>0</v>
      </c>
      <c r="BS6" s="312"/>
      <c r="BT6" s="312"/>
      <c r="BU6" s="312"/>
      <c r="BV6" s="468">
        <v>46449.7</v>
      </c>
      <c r="BW6" s="312"/>
      <c r="BX6" s="468">
        <v>133750</v>
      </c>
      <c r="BY6" s="312"/>
      <c r="BZ6" s="589">
        <f t="shared" ref="BZ6:BZ11" si="4">ROUND(BR6+BV6,5)</f>
        <v>46449.7</v>
      </c>
      <c r="CA6" s="590"/>
      <c r="CB6" s="589">
        <f>ROUND(BT6+BX6,5)</f>
        <v>133750</v>
      </c>
      <c r="CC6" s="312"/>
      <c r="CD6" s="468">
        <f t="shared" ref="CD6:CD11" si="5">ROUND(AP6+BN6+BZ6,5)</f>
        <v>135879.70000000001</v>
      </c>
      <c r="CE6" s="312"/>
      <c r="CF6" s="468">
        <f>ROUND(AR6+BP6+CB6,5)</f>
        <v>383750</v>
      </c>
      <c r="CG6" s="312"/>
      <c r="CH6" s="575">
        <v>0</v>
      </c>
      <c r="CI6" s="576"/>
      <c r="CJ6" s="576"/>
      <c r="CK6" s="312"/>
      <c r="CL6" s="468">
        <v>0</v>
      </c>
      <c r="CM6" s="312"/>
      <c r="CN6" s="468">
        <v>0</v>
      </c>
      <c r="CO6" s="312"/>
      <c r="CP6" s="468">
        <f t="shared" ref="CP6:CP11" si="6">ROUND(N6+R6+CD6+CH6+CL6,5)</f>
        <v>315867.95</v>
      </c>
      <c r="CQ6" s="312"/>
      <c r="CR6" s="468">
        <f t="shared" ref="CR6:CR11" si="7">ROUND(P6+T6+CF6+CJ6+CN6,5)</f>
        <v>548700</v>
      </c>
      <c r="CT6" s="526">
        <f>P6+T6+BH6+BL6+CJ6</f>
        <v>164950</v>
      </c>
      <c r="CU6" s="523">
        <f>AR6+BD6+CB6</f>
        <v>383750</v>
      </c>
      <c r="CV6" s="340">
        <f>CT6+CU6</f>
        <v>548700</v>
      </c>
    </row>
    <row r="7" spans="1:101" x14ac:dyDescent="0.25">
      <c r="E7" s="485" t="s">
        <v>397</v>
      </c>
      <c r="F7" s="468">
        <v>0</v>
      </c>
      <c r="G7" s="312"/>
      <c r="H7" s="468"/>
      <c r="I7" s="312"/>
      <c r="J7" s="468">
        <v>0</v>
      </c>
      <c r="K7" s="312"/>
      <c r="L7" s="468"/>
      <c r="M7" s="312"/>
      <c r="N7" s="575">
        <f t="shared" si="0"/>
        <v>0</v>
      </c>
      <c r="O7" s="576"/>
      <c r="P7" s="575"/>
      <c r="Q7" s="312"/>
      <c r="R7" s="575">
        <v>57.5</v>
      </c>
      <c r="S7" s="576"/>
      <c r="T7" s="575"/>
      <c r="U7" s="312"/>
      <c r="V7" s="468">
        <v>0</v>
      </c>
      <c r="W7" s="312"/>
      <c r="X7" s="312"/>
      <c r="Y7" s="312"/>
      <c r="Z7" s="468">
        <v>869.43</v>
      </c>
      <c r="AA7" s="312"/>
      <c r="AB7" s="312"/>
      <c r="AC7" s="312"/>
      <c r="AD7" s="468">
        <v>0</v>
      </c>
      <c r="AE7" s="312"/>
      <c r="AF7" s="312"/>
      <c r="AG7" s="312"/>
      <c r="AH7" s="468">
        <v>0</v>
      </c>
      <c r="AI7" s="312"/>
      <c r="AJ7" s="468"/>
      <c r="AK7" s="312"/>
      <c r="AL7" s="468">
        <v>0</v>
      </c>
      <c r="AM7" s="312"/>
      <c r="AN7" s="468"/>
      <c r="AO7" s="312"/>
      <c r="AP7" s="589">
        <f t="shared" si="1"/>
        <v>869.43</v>
      </c>
      <c r="AQ7" s="590"/>
      <c r="AR7" s="589"/>
      <c r="AS7" s="312"/>
      <c r="AT7" s="468">
        <v>0</v>
      </c>
      <c r="AU7" s="312"/>
      <c r="AV7" s="312"/>
      <c r="AW7" s="312"/>
      <c r="AX7" s="468">
        <v>0</v>
      </c>
      <c r="AY7" s="312"/>
      <c r="AZ7" s="468"/>
      <c r="BA7" s="312"/>
      <c r="BB7" s="589">
        <f t="shared" si="2"/>
        <v>0</v>
      </c>
      <c r="BC7" s="590"/>
      <c r="BD7" s="589"/>
      <c r="BE7" s="312"/>
      <c r="BF7" s="575">
        <v>0</v>
      </c>
      <c r="BG7" s="576"/>
      <c r="BH7" s="575"/>
      <c r="BI7" s="312"/>
      <c r="BJ7" s="575">
        <v>7931</v>
      </c>
      <c r="BK7" s="576"/>
      <c r="BL7" s="575">
        <v>90000</v>
      </c>
      <c r="BM7" s="312"/>
      <c r="BN7" s="468">
        <f t="shared" si="3"/>
        <v>7931</v>
      </c>
      <c r="BO7" s="312"/>
      <c r="BP7" s="468">
        <f>ROUND(BD7+BH7+BL7,5)</f>
        <v>90000</v>
      </c>
      <c r="BQ7" s="312"/>
      <c r="BR7" s="468">
        <v>0</v>
      </c>
      <c r="BS7" s="312"/>
      <c r="BT7" s="312"/>
      <c r="BU7" s="312"/>
      <c r="BV7" s="468">
        <v>24768.400000000001</v>
      </c>
      <c r="BW7" s="312"/>
      <c r="BX7" s="468">
        <v>0</v>
      </c>
      <c r="BY7" s="312"/>
      <c r="BZ7" s="589">
        <f t="shared" si="4"/>
        <v>24768.400000000001</v>
      </c>
      <c r="CA7" s="590"/>
      <c r="CB7" s="589">
        <f>ROUND(BT7+BX7,5)</f>
        <v>0</v>
      </c>
      <c r="CC7" s="312"/>
      <c r="CD7" s="468">
        <f t="shared" si="5"/>
        <v>33568.83</v>
      </c>
      <c r="CE7" s="312"/>
      <c r="CF7" s="468">
        <f>ROUND(AR7+BP7+CB7,5)</f>
        <v>90000</v>
      </c>
      <c r="CG7" s="312"/>
      <c r="CH7" s="575">
        <v>0</v>
      </c>
      <c r="CI7" s="576"/>
      <c r="CJ7" s="576"/>
      <c r="CK7" s="312"/>
      <c r="CL7" s="468">
        <v>0</v>
      </c>
      <c r="CM7" s="312"/>
      <c r="CN7" s="468">
        <v>0</v>
      </c>
      <c r="CO7" s="312"/>
      <c r="CP7" s="468">
        <f t="shared" si="6"/>
        <v>33626.33</v>
      </c>
      <c r="CQ7" s="312"/>
      <c r="CR7" s="468">
        <f t="shared" si="7"/>
        <v>90000</v>
      </c>
      <c r="CT7" s="526">
        <f t="shared" ref="CT7:CT37" si="8">P7+T7+BH7+BL7+CJ7</f>
        <v>90000</v>
      </c>
      <c r="CU7" s="523">
        <f t="shared" ref="CU7:CU37" si="9">AR7+BD7+CB7</f>
        <v>0</v>
      </c>
      <c r="CV7" s="340">
        <f t="shared" ref="CV7:CV15" si="10">CT7+CU7</f>
        <v>90000</v>
      </c>
    </row>
    <row r="8" spans="1:101" x14ac:dyDescent="0.25">
      <c r="E8" s="485" t="s">
        <v>401</v>
      </c>
      <c r="F8" s="468">
        <v>0</v>
      </c>
      <c r="G8" s="312"/>
      <c r="H8" s="468"/>
      <c r="I8" s="312"/>
      <c r="J8" s="468">
        <v>1925</v>
      </c>
      <c r="K8" s="312"/>
      <c r="L8" s="468">
        <v>2100</v>
      </c>
      <c r="M8" s="312"/>
      <c r="N8" s="575">
        <f t="shared" si="0"/>
        <v>1925</v>
      </c>
      <c r="O8" s="576"/>
      <c r="P8" s="575">
        <f>ROUND(H8+L8,5)</f>
        <v>2100</v>
      </c>
      <c r="Q8" s="312"/>
      <c r="R8" s="575">
        <v>0</v>
      </c>
      <c r="S8" s="576"/>
      <c r="T8" s="575"/>
      <c r="U8" s="312"/>
      <c r="V8" s="468">
        <v>0</v>
      </c>
      <c r="W8" s="312"/>
      <c r="X8" s="312"/>
      <c r="Y8" s="312"/>
      <c r="Z8" s="468">
        <v>0</v>
      </c>
      <c r="AA8" s="312"/>
      <c r="AB8" s="312"/>
      <c r="AC8" s="312"/>
      <c r="AD8" s="468">
        <v>0</v>
      </c>
      <c r="AE8" s="312"/>
      <c r="AF8" s="312"/>
      <c r="AG8" s="312"/>
      <c r="AH8" s="468">
        <v>0</v>
      </c>
      <c r="AI8" s="312"/>
      <c r="AJ8" s="468"/>
      <c r="AK8" s="312"/>
      <c r="AL8" s="468">
        <v>0</v>
      </c>
      <c r="AM8" s="312"/>
      <c r="AN8" s="468"/>
      <c r="AO8" s="312"/>
      <c r="AP8" s="589">
        <f t="shared" si="1"/>
        <v>0</v>
      </c>
      <c r="AQ8" s="590"/>
      <c r="AR8" s="589"/>
      <c r="AS8" s="312"/>
      <c r="AT8" s="468">
        <v>0</v>
      </c>
      <c r="AU8" s="312"/>
      <c r="AV8" s="312"/>
      <c r="AW8" s="312"/>
      <c r="AX8" s="468">
        <v>0</v>
      </c>
      <c r="AY8" s="312"/>
      <c r="AZ8" s="468"/>
      <c r="BA8" s="312"/>
      <c r="BB8" s="589">
        <f t="shared" si="2"/>
        <v>0</v>
      </c>
      <c r="BC8" s="590"/>
      <c r="BD8" s="589"/>
      <c r="BE8" s="312"/>
      <c r="BF8" s="575">
        <v>0</v>
      </c>
      <c r="BG8" s="576"/>
      <c r="BH8" s="575"/>
      <c r="BI8" s="312"/>
      <c r="BJ8" s="575">
        <v>0</v>
      </c>
      <c r="BK8" s="576"/>
      <c r="BL8" s="575"/>
      <c r="BM8" s="312"/>
      <c r="BN8" s="468">
        <f t="shared" si="3"/>
        <v>0</v>
      </c>
      <c r="BO8" s="312"/>
      <c r="BP8" s="468"/>
      <c r="BQ8" s="312"/>
      <c r="BR8" s="468">
        <v>0</v>
      </c>
      <c r="BS8" s="312"/>
      <c r="BT8" s="312"/>
      <c r="BU8" s="312"/>
      <c r="BV8" s="468">
        <v>0</v>
      </c>
      <c r="BW8" s="312"/>
      <c r="BX8" s="468"/>
      <c r="BY8" s="312"/>
      <c r="BZ8" s="589">
        <f t="shared" si="4"/>
        <v>0</v>
      </c>
      <c r="CA8" s="590"/>
      <c r="CB8" s="589"/>
      <c r="CC8" s="312"/>
      <c r="CD8" s="468">
        <f t="shared" si="5"/>
        <v>0</v>
      </c>
      <c r="CE8" s="312"/>
      <c r="CF8" s="468"/>
      <c r="CG8" s="312"/>
      <c r="CH8" s="575">
        <v>0</v>
      </c>
      <c r="CI8" s="576"/>
      <c r="CJ8" s="576"/>
      <c r="CK8" s="312"/>
      <c r="CL8" s="468">
        <v>0</v>
      </c>
      <c r="CM8" s="312"/>
      <c r="CN8" s="468">
        <v>0</v>
      </c>
      <c r="CO8" s="312"/>
      <c r="CP8" s="468">
        <f t="shared" si="6"/>
        <v>1925</v>
      </c>
      <c r="CQ8" s="312"/>
      <c r="CR8" s="468">
        <f t="shared" si="7"/>
        <v>2100</v>
      </c>
      <c r="CT8" s="526">
        <f t="shared" si="8"/>
        <v>2100</v>
      </c>
      <c r="CU8" s="523">
        <f t="shared" si="9"/>
        <v>0</v>
      </c>
      <c r="CV8" s="340">
        <f t="shared" si="10"/>
        <v>2100</v>
      </c>
    </row>
    <row r="9" spans="1:101" x14ac:dyDescent="0.25">
      <c r="E9" s="485" t="s">
        <v>163</v>
      </c>
      <c r="F9" s="468">
        <v>0</v>
      </c>
      <c r="G9" s="312"/>
      <c r="H9" s="468"/>
      <c r="I9" s="312"/>
      <c r="J9" s="468">
        <v>-24.08</v>
      </c>
      <c r="K9" s="312"/>
      <c r="L9" s="468">
        <v>4370</v>
      </c>
      <c r="M9" s="312"/>
      <c r="N9" s="575">
        <f t="shared" si="0"/>
        <v>-24.08</v>
      </c>
      <c r="O9" s="576"/>
      <c r="P9" s="575">
        <f>ROUND(H9+L9,5)</f>
        <v>4370</v>
      </c>
      <c r="Q9" s="312"/>
      <c r="R9" s="575">
        <v>0</v>
      </c>
      <c r="S9" s="576"/>
      <c r="T9" s="575"/>
      <c r="U9" s="312"/>
      <c r="V9" s="468">
        <v>0</v>
      </c>
      <c r="W9" s="312"/>
      <c r="X9" s="312"/>
      <c r="Y9" s="312"/>
      <c r="Z9" s="468">
        <v>0</v>
      </c>
      <c r="AA9" s="312"/>
      <c r="AB9" s="312"/>
      <c r="AC9" s="312"/>
      <c r="AD9" s="468">
        <v>0</v>
      </c>
      <c r="AE9" s="312"/>
      <c r="AF9" s="312"/>
      <c r="AG9" s="312"/>
      <c r="AH9" s="468">
        <v>0</v>
      </c>
      <c r="AI9" s="312"/>
      <c r="AJ9" s="468"/>
      <c r="AK9" s="312"/>
      <c r="AL9" s="468">
        <v>0</v>
      </c>
      <c r="AM9" s="312"/>
      <c r="AN9" s="468"/>
      <c r="AO9" s="312"/>
      <c r="AP9" s="589">
        <f t="shared" si="1"/>
        <v>0</v>
      </c>
      <c r="AQ9" s="590"/>
      <c r="AR9" s="589"/>
      <c r="AS9" s="312"/>
      <c r="AT9" s="468">
        <v>0</v>
      </c>
      <c r="AU9" s="312"/>
      <c r="AV9" s="312"/>
      <c r="AW9" s="312"/>
      <c r="AX9" s="468">
        <v>0</v>
      </c>
      <c r="AY9" s="312"/>
      <c r="AZ9" s="468"/>
      <c r="BA9" s="312"/>
      <c r="BB9" s="589">
        <f t="shared" si="2"/>
        <v>0</v>
      </c>
      <c r="BC9" s="590"/>
      <c r="BD9" s="589"/>
      <c r="BE9" s="312"/>
      <c r="BF9" s="575">
        <v>0</v>
      </c>
      <c r="BG9" s="576"/>
      <c r="BH9" s="575"/>
      <c r="BI9" s="312"/>
      <c r="BJ9" s="575">
        <v>0</v>
      </c>
      <c r="BK9" s="576"/>
      <c r="BL9" s="575"/>
      <c r="BM9" s="312"/>
      <c r="BN9" s="468">
        <f t="shared" si="3"/>
        <v>0</v>
      </c>
      <c r="BO9" s="312"/>
      <c r="BP9" s="468"/>
      <c r="BQ9" s="312"/>
      <c r="BR9" s="468">
        <v>0</v>
      </c>
      <c r="BS9" s="312"/>
      <c r="BT9" s="312"/>
      <c r="BU9" s="312"/>
      <c r="BV9" s="468">
        <v>0</v>
      </c>
      <c r="BW9" s="312"/>
      <c r="BX9" s="468"/>
      <c r="BY9" s="312"/>
      <c r="BZ9" s="589">
        <f t="shared" si="4"/>
        <v>0</v>
      </c>
      <c r="CA9" s="590"/>
      <c r="CB9" s="589"/>
      <c r="CC9" s="312"/>
      <c r="CD9" s="468">
        <f t="shared" si="5"/>
        <v>0</v>
      </c>
      <c r="CE9" s="312"/>
      <c r="CF9" s="468"/>
      <c r="CG9" s="312"/>
      <c r="CH9" s="575">
        <v>0</v>
      </c>
      <c r="CI9" s="576"/>
      <c r="CJ9" s="576"/>
      <c r="CK9" s="312"/>
      <c r="CL9" s="468">
        <v>0</v>
      </c>
      <c r="CM9" s="312"/>
      <c r="CN9" s="468">
        <v>0</v>
      </c>
      <c r="CO9" s="312"/>
      <c r="CP9" s="468">
        <f t="shared" si="6"/>
        <v>-24.08</v>
      </c>
      <c r="CQ9" s="312"/>
      <c r="CR9" s="468">
        <f t="shared" si="7"/>
        <v>4370</v>
      </c>
      <c r="CT9" s="526">
        <f t="shared" si="8"/>
        <v>4370</v>
      </c>
      <c r="CU9" s="523">
        <f t="shared" si="9"/>
        <v>0</v>
      </c>
      <c r="CV9" s="340">
        <f t="shared" si="10"/>
        <v>4370</v>
      </c>
    </row>
    <row r="10" spans="1:101" ht="15.75" thickBot="1" x14ac:dyDescent="0.3">
      <c r="E10" s="485" t="s">
        <v>402</v>
      </c>
      <c r="F10" s="313">
        <v>0</v>
      </c>
      <c r="G10" s="312"/>
      <c r="H10" s="313"/>
      <c r="I10" s="312"/>
      <c r="J10" s="313">
        <v>0</v>
      </c>
      <c r="K10" s="312"/>
      <c r="L10" s="313"/>
      <c r="M10" s="312"/>
      <c r="N10" s="577">
        <f t="shared" si="0"/>
        <v>0</v>
      </c>
      <c r="O10" s="576"/>
      <c r="P10" s="577"/>
      <c r="Q10" s="312"/>
      <c r="R10" s="577">
        <v>0</v>
      </c>
      <c r="S10" s="576"/>
      <c r="T10" s="577"/>
      <c r="U10" s="312"/>
      <c r="V10" s="313">
        <v>0</v>
      </c>
      <c r="W10" s="312"/>
      <c r="X10" s="312"/>
      <c r="Y10" s="312"/>
      <c r="Z10" s="313">
        <v>122.06</v>
      </c>
      <c r="AA10" s="312"/>
      <c r="AB10" s="312"/>
      <c r="AC10" s="312"/>
      <c r="AD10" s="313">
        <v>0</v>
      </c>
      <c r="AE10" s="312"/>
      <c r="AF10" s="312"/>
      <c r="AG10" s="312"/>
      <c r="AH10" s="313">
        <v>0</v>
      </c>
      <c r="AI10" s="312"/>
      <c r="AJ10" s="313"/>
      <c r="AK10" s="312"/>
      <c r="AL10" s="313">
        <v>0</v>
      </c>
      <c r="AM10" s="312"/>
      <c r="AN10" s="313"/>
      <c r="AO10" s="312"/>
      <c r="AP10" s="591">
        <f t="shared" si="1"/>
        <v>122.06</v>
      </c>
      <c r="AQ10" s="590"/>
      <c r="AR10" s="591"/>
      <c r="AS10" s="312"/>
      <c r="AT10" s="313">
        <v>0</v>
      </c>
      <c r="AU10" s="312"/>
      <c r="AV10" s="312"/>
      <c r="AW10" s="312"/>
      <c r="AX10" s="313">
        <v>0</v>
      </c>
      <c r="AY10" s="312"/>
      <c r="AZ10" s="313"/>
      <c r="BA10" s="312"/>
      <c r="BB10" s="591">
        <f t="shared" si="2"/>
        <v>0</v>
      </c>
      <c r="BC10" s="590"/>
      <c r="BD10" s="591"/>
      <c r="BE10" s="312"/>
      <c r="BF10" s="577">
        <v>0</v>
      </c>
      <c r="BG10" s="576"/>
      <c r="BH10" s="575"/>
      <c r="BI10" s="312"/>
      <c r="BJ10" s="577">
        <v>50</v>
      </c>
      <c r="BK10" s="576"/>
      <c r="BL10" s="577"/>
      <c r="BM10" s="312"/>
      <c r="BN10" s="313">
        <f t="shared" si="3"/>
        <v>50</v>
      </c>
      <c r="BO10" s="312"/>
      <c r="BP10" s="313"/>
      <c r="BQ10" s="312"/>
      <c r="BR10" s="313">
        <v>0</v>
      </c>
      <c r="BS10" s="312"/>
      <c r="BT10" s="312"/>
      <c r="BU10" s="312"/>
      <c r="BV10" s="313">
        <v>0</v>
      </c>
      <c r="BW10" s="312"/>
      <c r="BX10" s="313"/>
      <c r="BY10" s="312"/>
      <c r="BZ10" s="591">
        <f t="shared" si="4"/>
        <v>0</v>
      </c>
      <c r="CA10" s="590"/>
      <c r="CB10" s="591"/>
      <c r="CC10" s="312"/>
      <c r="CD10" s="313">
        <f t="shared" si="5"/>
        <v>172.06</v>
      </c>
      <c r="CE10" s="312"/>
      <c r="CF10" s="313"/>
      <c r="CG10" s="312"/>
      <c r="CH10" s="577">
        <v>0</v>
      </c>
      <c r="CI10" s="576"/>
      <c r="CJ10" s="576"/>
      <c r="CK10" s="312"/>
      <c r="CL10" s="313">
        <v>0</v>
      </c>
      <c r="CM10" s="312"/>
      <c r="CN10" s="313">
        <v>0</v>
      </c>
      <c r="CO10" s="312"/>
      <c r="CP10" s="313">
        <f t="shared" si="6"/>
        <v>172.06</v>
      </c>
      <c r="CQ10" s="312"/>
      <c r="CR10" s="313">
        <f t="shared" si="7"/>
        <v>0</v>
      </c>
      <c r="CT10" s="526">
        <f t="shared" si="8"/>
        <v>0</v>
      </c>
      <c r="CU10" s="523">
        <f t="shared" si="9"/>
        <v>0</v>
      </c>
      <c r="CV10" s="340">
        <f t="shared" si="10"/>
        <v>0</v>
      </c>
    </row>
    <row r="11" spans="1:101" x14ac:dyDescent="0.25">
      <c r="D11" s="485" t="s">
        <v>9</v>
      </c>
      <c r="F11" s="468">
        <f>ROUND(SUM(F5:F10),5)</f>
        <v>357.04</v>
      </c>
      <c r="G11" s="312"/>
      <c r="H11" s="468">
        <f>ROUND(SUM(H5:H10),5)</f>
        <v>550</v>
      </c>
      <c r="I11" s="312"/>
      <c r="J11" s="468">
        <f>ROUND(SUM(J5:J10),5)</f>
        <v>14318.55</v>
      </c>
      <c r="K11" s="312"/>
      <c r="L11" s="468">
        <f>ROUND(SUM(L5:L10),5)</f>
        <v>15870</v>
      </c>
      <c r="M11" s="312"/>
      <c r="N11" s="575">
        <f t="shared" si="0"/>
        <v>14675.59</v>
      </c>
      <c r="O11" s="576"/>
      <c r="P11" s="575">
        <f>ROUND(H11+L11,5)</f>
        <v>16420</v>
      </c>
      <c r="Q11" s="312"/>
      <c r="R11" s="575">
        <f>ROUND(SUM(R5:R10),5)</f>
        <v>167271.07999999999</v>
      </c>
      <c r="S11" s="576"/>
      <c r="T11" s="575">
        <f>ROUND(SUM(T5:T10),5)</f>
        <v>155000</v>
      </c>
      <c r="U11" s="312"/>
      <c r="V11" s="468">
        <f>ROUND(SUM(V5:V10),5)</f>
        <v>0</v>
      </c>
      <c r="W11" s="312"/>
      <c r="X11" s="312"/>
      <c r="Y11" s="312"/>
      <c r="Z11" s="468">
        <f>ROUND(SUM(Z5:Z10),5)</f>
        <v>991.49</v>
      </c>
      <c r="AA11" s="312"/>
      <c r="AB11" s="312"/>
      <c r="AC11" s="312"/>
      <c r="AD11" s="468">
        <f>ROUND(SUM(AD5:AD10),5)</f>
        <v>3000</v>
      </c>
      <c r="AE11" s="312"/>
      <c r="AF11" s="312"/>
      <c r="AG11" s="312"/>
      <c r="AH11" s="468">
        <f>ROUND(SUM(AH5:AH10),5)</f>
        <v>75000</v>
      </c>
      <c r="AI11" s="312"/>
      <c r="AJ11" s="468">
        <f>ROUND(SUM(AJ5:AJ10),5)</f>
        <v>0</v>
      </c>
      <c r="AK11" s="312"/>
      <c r="AL11" s="468">
        <f>ROUND(SUM(AL5:AL10),5)</f>
        <v>0</v>
      </c>
      <c r="AM11" s="312"/>
      <c r="AN11" s="468">
        <f>ROUND(SUM(AN5:AN10),5)</f>
        <v>125000</v>
      </c>
      <c r="AO11" s="312"/>
      <c r="AP11" s="589">
        <f t="shared" si="1"/>
        <v>78991.490000000005</v>
      </c>
      <c r="AQ11" s="590"/>
      <c r="AR11" s="589">
        <f>ROUND(X11+AB11+AF11+AJ11+AN11,5)</f>
        <v>125000</v>
      </c>
      <c r="AS11" s="312"/>
      <c r="AT11" s="468">
        <f>ROUND(SUM(AT5:AT10),5)</f>
        <v>0</v>
      </c>
      <c r="AU11" s="312"/>
      <c r="AV11" s="312"/>
      <c r="AW11" s="312"/>
      <c r="AX11" s="468">
        <f>ROUND(SUM(AX5:AX10),5)</f>
        <v>11430</v>
      </c>
      <c r="AY11" s="312"/>
      <c r="AZ11" s="468">
        <f>ROUND(SUM(AZ5:AZ10),5)</f>
        <v>125000</v>
      </c>
      <c r="BA11" s="312"/>
      <c r="BB11" s="589">
        <f t="shared" si="2"/>
        <v>11430</v>
      </c>
      <c r="BC11" s="590"/>
      <c r="BD11" s="589">
        <f>ROUND(AV11+AZ11,5)</f>
        <v>125000</v>
      </c>
      <c r="BE11" s="312"/>
      <c r="BF11" s="575">
        <f>ROUND(SUM(BF5:BF10),5)</f>
        <v>0</v>
      </c>
      <c r="BG11" s="576"/>
      <c r="BH11" s="575"/>
      <c r="BI11" s="312"/>
      <c r="BJ11" s="575">
        <f>ROUND(SUM(BJ5:BJ10),5)</f>
        <v>7981</v>
      </c>
      <c r="BK11" s="576"/>
      <c r="BL11" s="575">
        <f>ROUND(SUM(BL5:BL10),5)</f>
        <v>90000</v>
      </c>
      <c r="BM11" s="312"/>
      <c r="BN11" s="468">
        <f t="shared" si="3"/>
        <v>19411</v>
      </c>
      <c r="BO11" s="312"/>
      <c r="BP11" s="468">
        <f>ROUND(BD11+BH11+BL11,5)</f>
        <v>215000</v>
      </c>
      <c r="BQ11" s="312"/>
      <c r="BR11" s="468">
        <f>ROUND(SUM(BR5:BR10),5)</f>
        <v>0</v>
      </c>
      <c r="BS11" s="312"/>
      <c r="BT11" s="312"/>
      <c r="BU11" s="312"/>
      <c r="BV11" s="468">
        <f>ROUND(SUM(BV5:BV10),5)</f>
        <v>71218.100000000006</v>
      </c>
      <c r="BW11" s="312"/>
      <c r="BX11" s="468">
        <f>ROUND(SUM(BX5:BX10),5)</f>
        <v>133750</v>
      </c>
      <c r="BY11" s="312"/>
      <c r="BZ11" s="589">
        <f t="shared" si="4"/>
        <v>71218.100000000006</v>
      </c>
      <c r="CA11" s="590"/>
      <c r="CB11" s="589">
        <f>ROUND(BT11+BX11,5)</f>
        <v>133750</v>
      </c>
      <c r="CC11" s="312"/>
      <c r="CD11" s="468">
        <f t="shared" si="5"/>
        <v>169620.59</v>
      </c>
      <c r="CE11" s="312"/>
      <c r="CF11" s="468">
        <f>ROUND(AR11+BP11+CB11,5)</f>
        <v>473750</v>
      </c>
      <c r="CG11" s="312"/>
      <c r="CH11" s="575">
        <f>ROUND(SUM(CH5:CH10),5)</f>
        <v>0</v>
      </c>
      <c r="CI11" s="576"/>
      <c r="CJ11" s="576"/>
      <c r="CK11" s="312"/>
      <c r="CL11" s="468">
        <f>ROUND(SUM(CL5:CL10),5)</f>
        <v>0</v>
      </c>
      <c r="CM11" s="312"/>
      <c r="CN11" s="468">
        <f>ROUND(SUM(CN5:CN10),5)</f>
        <v>0</v>
      </c>
      <c r="CO11" s="312"/>
      <c r="CP11" s="468">
        <f t="shared" si="6"/>
        <v>351567.26</v>
      </c>
      <c r="CQ11" s="312"/>
      <c r="CR11" s="468">
        <f t="shared" si="7"/>
        <v>645170</v>
      </c>
      <c r="CT11" s="526">
        <f t="shared" si="8"/>
        <v>261420</v>
      </c>
      <c r="CU11" s="523">
        <f t="shared" si="9"/>
        <v>383750</v>
      </c>
      <c r="CV11" s="340">
        <f t="shared" si="10"/>
        <v>645170</v>
      </c>
    </row>
    <row r="12" spans="1:101" x14ac:dyDescent="0.25">
      <c r="D12" s="485" t="s">
        <v>164</v>
      </c>
      <c r="F12" s="468"/>
      <c r="G12" s="312"/>
      <c r="H12" s="468"/>
      <c r="I12" s="312"/>
      <c r="J12" s="468"/>
      <c r="K12" s="312"/>
      <c r="L12" s="468"/>
      <c r="M12" s="312"/>
      <c r="N12" s="575"/>
      <c r="O12" s="576"/>
      <c r="P12" s="575"/>
      <c r="Q12" s="312"/>
      <c r="R12" s="575"/>
      <c r="S12" s="576"/>
      <c r="T12" s="575"/>
      <c r="U12" s="312"/>
      <c r="V12" s="468"/>
      <c r="W12" s="312"/>
      <c r="X12" s="312"/>
      <c r="Y12" s="312"/>
      <c r="Z12" s="468"/>
      <c r="AA12" s="312"/>
      <c r="AB12" s="312"/>
      <c r="AC12" s="312"/>
      <c r="AD12" s="468"/>
      <c r="AE12" s="312"/>
      <c r="AF12" s="312"/>
      <c r="AG12" s="312"/>
      <c r="AH12" s="468"/>
      <c r="AI12" s="312"/>
      <c r="AJ12" s="468"/>
      <c r="AK12" s="312"/>
      <c r="AL12" s="468"/>
      <c r="AM12" s="312"/>
      <c r="AN12" s="468"/>
      <c r="AO12" s="312"/>
      <c r="AP12" s="589"/>
      <c r="AQ12" s="590"/>
      <c r="AR12" s="589"/>
      <c r="AS12" s="312"/>
      <c r="AT12" s="468"/>
      <c r="AU12" s="312"/>
      <c r="AV12" s="312"/>
      <c r="AW12" s="312"/>
      <c r="AX12" s="468"/>
      <c r="AY12" s="312"/>
      <c r="AZ12" s="468"/>
      <c r="BA12" s="312"/>
      <c r="BB12" s="589"/>
      <c r="BC12" s="590"/>
      <c r="BD12" s="589"/>
      <c r="BE12" s="312"/>
      <c r="BF12" s="575"/>
      <c r="BG12" s="576"/>
      <c r="BH12" s="575"/>
      <c r="BI12" s="312"/>
      <c r="BJ12" s="575"/>
      <c r="BK12" s="576"/>
      <c r="BL12" s="575"/>
      <c r="BM12" s="312"/>
      <c r="BN12" s="468"/>
      <c r="BO12" s="312"/>
      <c r="BP12" s="468"/>
      <c r="BQ12" s="312"/>
      <c r="BR12" s="468"/>
      <c r="BS12" s="312"/>
      <c r="BT12" s="312"/>
      <c r="BU12" s="312"/>
      <c r="BV12" s="468"/>
      <c r="BW12" s="312"/>
      <c r="BX12" s="468"/>
      <c r="BY12" s="312"/>
      <c r="BZ12" s="589"/>
      <c r="CA12" s="590"/>
      <c r="CB12" s="589"/>
      <c r="CC12" s="312"/>
      <c r="CD12" s="468"/>
      <c r="CE12" s="312"/>
      <c r="CF12" s="468"/>
      <c r="CG12" s="312"/>
      <c r="CH12" s="575"/>
      <c r="CI12" s="576"/>
      <c r="CJ12" s="576"/>
      <c r="CK12" s="312"/>
      <c r="CL12" s="468"/>
      <c r="CM12" s="312"/>
      <c r="CN12" s="468"/>
      <c r="CO12" s="312"/>
      <c r="CP12" s="468"/>
      <c r="CQ12" s="312"/>
      <c r="CR12" s="468"/>
      <c r="CT12" s="526">
        <f t="shared" si="8"/>
        <v>0</v>
      </c>
      <c r="CU12" s="523">
        <f t="shared" si="9"/>
        <v>0</v>
      </c>
      <c r="CV12" s="340">
        <f t="shared" si="10"/>
        <v>0</v>
      </c>
    </row>
    <row r="13" spans="1:101" ht="15.75" thickBot="1" x14ac:dyDescent="0.3">
      <c r="E13" s="485" t="s">
        <v>165</v>
      </c>
      <c r="F13" s="467">
        <v>0</v>
      </c>
      <c r="G13" s="312"/>
      <c r="H13" s="468"/>
      <c r="I13" s="312"/>
      <c r="J13" s="467">
        <v>0</v>
      </c>
      <c r="K13" s="312"/>
      <c r="L13" s="468"/>
      <c r="M13" s="312"/>
      <c r="N13" s="578">
        <f>ROUND(F13+J13,5)</f>
        <v>0</v>
      </c>
      <c r="O13" s="576"/>
      <c r="P13" s="575"/>
      <c r="Q13" s="312"/>
      <c r="R13" s="578">
        <v>6.98</v>
      </c>
      <c r="S13" s="576"/>
      <c r="T13" s="575"/>
      <c r="U13" s="312"/>
      <c r="V13" s="467">
        <v>0</v>
      </c>
      <c r="W13" s="312"/>
      <c r="X13" s="312"/>
      <c r="Y13" s="312"/>
      <c r="Z13" s="467">
        <v>0</v>
      </c>
      <c r="AA13" s="312"/>
      <c r="AB13" s="312"/>
      <c r="AC13" s="312"/>
      <c r="AD13" s="467">
        <v>0</v>
      </c>
      <c r="AE13" s="312"/>
      <c r="AF13" s="312"/>
      <c r="AG13" s="312"/>
      <c r="AH13" s="467">
        <v>0</v>
      </c>
      <c r="AI13" s="312"/>
      <c r="AJ13" s="468"/>
      <c r="AK13" s="312"/>
      <c r="AL13" s="467">
        <v>0</v>
      </c>
      <c r="AM13" s="312"/>
      <c r="AN13" s="468"/>
      <c r="AO13" s="312"/>
      <c r="AP13" s="592">
        <f>ROUND(V13+Z13+AD13+AH13+AL13,5)</f>
        <v>0</v>
      </c>
      <c r="AQ13" s="590"/>
      <c r="AR13" s="589"/>
      <c r="AS13" s="312"/>
      <c r="AT13" s="467">
        <v>0</v>
      </c>
      <c r="AU13" s="312"/>
      <c r="AV13" s="312"/>
      <c r="AW13" s="312"/>
      <c r="AX13" s="467">
        <v>0</v>
      </c>
      <c r="AY13" s="312"/>
      <c r="AZ13" s="468"/>
      <c r="BA13" s="312"/>
      <c r="BB13" s="592">
        <f>ROUND(AT13+AX13,5)</f>
        <v>0</v>
      </c>
      <c r="BC13" s="590"/>
      <c r="BD13" s="589"/>
      <c r="BE13" s="312"/>
      <c r="BF13" s="578">
        <v>0</v>
      </c>
      <c r="BG13" s="576"/>
      <c r="BH13" s="575"/>
      <c r="BI13" s="312"/>
      <c r="BJ13" s="578">
        <v>3151.18</v>
      </c>
      <c r="BK13" s="576"/>
      <c r="BL13" s="575"/>
      <c r="BM13" s="312"/>
      <c r="BN13" s="467">
        <f>ROUND(BB13+BF13+BJ13,5)</f>
        <v>3151.18</v>
      </c>
      <c r="BO13" s="312"/>
      <c r="BP13" s="468"/>
      <c r="BQ13" s="312"/>
      <c r="BR13" s="467">
        <v>0</v>
      </c>
      <c r="BS13" s="312"/>
      <c r="BT13" s="312"/>
      <c r="BU13" s="312"/>
      <c r="BV13" s="467">
        <v>0</v>
      </c>
      <c r="BW13" s="312"/>
      <c r="BX13" s="468"/>
      <c r="BY13" s="312"/>
      <c r="BZ13" s="592">
        <f>ROUND(BR13+BV13,5)</f>
        <v>0</v>
      </c>
      <c r="CA13" s="590"/>
      <c r="CB13" s="589"/>
      <c r="CC13" s="312"/>
      <c r="CD13" s="467">
        <f>ROUND(AP13+BN13+BZ13,5)</f>
        <v>3151.18</v>
      </c>
      <c r="CE13" s="312"/>
      <c r="CF13" s="468"/>
      <c r="CG13" s="312"/>
      <c r="CH13" s="578">
        <v>0</v>
      </c>
      <c r="CI13" s="576"/>
      <c r="CJ13" s="576"/>
      <c r="CK13" s="312"/>
      <c r="CL13" s="467">
        <v>0</v>
      </c>
      <c r="CM13" s="312"/>
      <c r="CN13" s="467">
        <v>0</v>
      </c>
      <c r="CO13" s="312"/>
      <c r="CP13" s="467">
        <f>ROUND(N13+R13+CD13+CH13+CL13,5)</f>
        <v>3158.16</v>
      </c>
      <c r="CQ13" s="312"/>
      <c r="CR13" s="467">
        <f>ROUND(P13+T13+CF13+CJ13+CN13,5)</f>
        <v>0</v>
      </c>
      <c r="CT13" s="526">
        <f t="shared" si="8"/>
        <v>0</v>
      </c>
      <c r="CU13" s="523">
        <f t="shared" si="9"/>
        <v>0</v>
      </c>
      <c r="CV13" s="340">
        <f t="shared" si="10"/>
        <v>0</v>
      </c>
    </row>
    <row r="14" spans="1:101" ht="15.75" thickBot="1" x14ac:dyDescent="0.3">
      <c r="D14" s="485" t="s">
        <v>166</v>
      </c>
      <c r="F14" s="314">
        <f>ROUND(SUM(F12:F13),5)</f>
        <v>0</v>
      </c>
      <c r="G14" s="312"/>
      <c r="H14" s="313"/>
      <c r="I14" s="312"/>
      <c r="J14" s="314">
        <f>ROUND(SUM(J12:J13),5)</f>
        <v>0</v>
      </c>
      <c r="K14" s="312"/>
      <c r="L14" s="313"/>
      <c r="M14" s="312"/>
      <c r="N14" s="579">
        <f>ROUND(F14+J14,5)</f>
        <v>0</v>
      </c>
      <c r="O14" s="576"/>
      <c r="P14" s="577"/>
      <c r="Q14" s="312"/>
      <c r="R14" s="579">
        <f>ROUND(SUM(R12:R13),5)</f>
        <v>6.98</v>
      </c>
      <c r="S14" s="576"/>
      <c r="T14" s="577"/>
      <c r="U14" s="312"/>
      <c r="V14" s="314">
        <f>ROUND(SUM(V12:V13),5)</f>
        <v>0</v>
      </c>
      <c r="W14" s="312"/>
      <c r="X14" s="312"/>
      <c r="Y14" s="312"/>
      <c r="Z14" s="314">
        <f>ROUND(SUM(Z12:Z13),5)</f>
        <v>0</v>
      </c>
      <c r="AA14" s="312"/>
      <c r="AB14" s="312"/>
      <c r="AC14" s="312"/>
      <c r="AD14" s="314">
        <f>ROUND(SUM(AD12:AD13),5)</f>
        <v>0</v>
      </c>
      <c r="AE14" s="312"/>
      <c r="AF14" s="312"/>
      <c r="AG14" s="312"/>
      <c r="AH14" s="314">
        <f>ROUND(SUM(AH12:AH13),5)</f>
        <v>0</v>
      </c>
      <c r="AI14" s="312"/>
      <c r="AJ14" s="313"/>
      <c r="AK14" s="312"/>
      <c r="AL14" s="314">
        <f>ROUND(SUM(AL12:AL13),5)</f>
        <v>0</v>
      </c>
      <c r="AM14" s="312"/>
      <c r="AN14" s="313"/>
      <c r="AO14" s="312"/>
      <c r="AP14" s="593">
        <f>ROUND(V14+Z14+AD14+AH14+AL14,5)</f>
        <v>0</v>
      </c>
      <c r="AQ14" s="590"/>
      <c r="AR14" s="591"/>
      <c r="AS14" s="312"/>
      <c r="AT14" s="314">
        <f>ROUND(SUM(AT12:AT13),5)</f>
        <v>0</v>
      </c>
      <c r="AU14" s="312"/>
      <c r="AV14" s="312"/>
      <c r="AW14" s="312"/>
      <c r="AX14" s="314">
        <f>ROUND(SUM(AX12:AX13),5)</f>
        <v>0</v>
      </c>
      <c r="AY14" s="312"/>
      <c r="AZ14" s="313"/>
      <c r="BA14" s="312"/>
      <c r="BB14" s="593">
        <f>ROUND(AT14+AX14,5)</f>
        <v>0</v>
      </c>
      <c r="BC14" s="590"/>
      <c r="BD14" s="591"/>
      <c r="BE14" s="312"/>
      <c r="BF14" s="579">
        <f>ROUND(SUM(BF12:BF13),5)</f>
        <v>0</v>
      </c>
      <c r="BG14" s="576"/>
      <c r="BH14" s="575"/>
      <c r="BI14" s="312"/>
      <c r="BJ14" s="579">
        <f>ROUND(SUM(BJ12:BJ13),5)</f>
        <v>3151.18</v>
      </c>
      <c r="BK14" s="576"/>
      <c r="BL14" s="577"/>
      <c r="BM14" s="312"/>
      <c r="BN14" s="314">
        <f>ROUND(BB14+BF14+BJ14,5)</f>
        <v>3151.18</v>
      </c>
      <c r="BO14" s="312"/>
      <c r="BP14" s="313"/>
      <c r="BQ14" s="312"/>
      <c r="BR14" s="314">
        <f>ROUND(SUM(BR12:BR13),5)</f>
        <v>0</v>
      </c>
      <c r="BS14" s="312"/>
      <c r="BT14" s="312"/>
      <c r="BU14" s="312"/>
      <c r="BV14" s="314">
        <f>ROUND(SUM(BV12:BV13),5)</f>
        <v>0</v>
      </c>
      <c r="BW14" s="312"/>
      <c r="BX14" s="313"/>
      <c r="BY14" s="312"/>
      <c r="BZ14" s="593">
        <f>ROUND(BR14+BV14,5)</f>
        <v>0</v>
      </c>
      <c r="CA14" s="590"/>
      <c r="CB14" s="591"/>
      <c r="CC14" s="312"/>
      <c r="CD14" s="314">
        <f>ROUND(AP14+BN14+BZ14,5)</f>
        <v>3151.18</v>
      </c>
      <c r="CE14" s="312"/>
      <c r="CF14" s="313"/>
      <c r="CG14" s="312"/>
      <c r="CH14" s="579">
        <f>ROUND(SUM(CH12:CH13),5)</f>
        <v>0</v>
      </c>
      <c r="CI14" s="576"/>
      <c r="CJ14" s="576"/>
      <c r="CK14" s="312"/>
      <c r="CL14" s="314">
        <f>ROUND(SUM(CL12:CL13),5)</f>
        <v>0</v>
      </c>
      <c r="CM14" s="312"/>
      <c r="CN14" s="314">
        <f>ROUND(SUM(CN12:CN13),5)</f>
        <v>0</v>
      </c>
      <c r="CO14" s="312"/>
      <c r="CP14" s="314">
        <f>ROUND(N14+R14+CD14+CH14+CL14,5)</f>
        <v>3158.16</v>
      </c>
      <c r="CQ14" s="312"/>
      <c r="CR14" s="314">
        <f>ROUND(P14+T14+CF14+CJ14+CN14,5)</f>
        <v>0</v>
      </c>
      <c r="CT14" s="526">
        <f t="shared" si="8"/>
        <v>0</v>
      </c>
      <c r="CU14" s="523">
        <f t="shared" si="9"/>
        <v>0</v>
      </c>
      <c r="CV14" s="340">
        <f t="shared" si="10"/>
        <v>0</v>
      </c>
    </row>
    <row r="15" spans="1:101" x14ac:dyDescent="0.25">
      <c r="C15" s="485" t="s">
        <v>167</v>
      </c>
      <c r="F15" s="468">
        <f>ROUND(F11-F14,5)</f>
        <v>357.04</v>
      </c>
      <c r="G15" s="312"/>
      <c r="H15" s="468">
        <f>ROUND(H11-H14,5)</f>
        <v>550</v>
      </c>
      <c r="I15" s="312"/>
      <c r="J15" s="468">
        <f>ROUND(J11-J14,5)</f>
        <v>14318.55</v>
      </c>
      <c r="K15" s="312"/>
      <c r="L15" s="468">
        <f>ROUND(L11-L14,5)</f>
        <v>15870</v>
      </c>
      <c r="M15" s="312"/>
      <c r="N15" s="575">
        <f>ROUND(F15+J15,5)</f>
        <v>14675.59</v>
      </c>
      <c r="O15" s="576"/>
      <c r="P15" s="575">
        <f>ROUND(H15+L15,5)</f>
        <v>16420</v>
      </c>
      <c r="Q15" s="312"/>
      <c r="R15" s="575">
        <f>ROUND(R11-R14,5)</f>
        <v>167264.1</v>
      </c>
      <c r="S15" s="576"/>
      <c r="T15" s="575">
        <f>ROUND(T11-T14,5)</f>
        <v>155000</v>
      </c>
      <c r="U15" s="312"/>
      <c r="V15" s="468">
        <f>ROUND(V11-V14,5)</f>
        <v>0</v>
      </c>
      <c r="W15" s="312"/>
      <c r="X15" s="312"/>
      <c r="Y15" s="312"/>
      <c r="Z15" s="468">
        <f>ROUND(Z11-Z14,5)</f>
        <v>991.49</v>
      </c>
      <c r="AA15" s="312"/>
      <c r="AB15" s="312"/>
      <c r="AC15" s="312"/>
      <c r="AD15" s="468">
        <f>ROUND(AD11-AD14,5)</f>
        <v>3000</v>
      </c>
      <c r="AE15" s="312"/>
      <c r="AF15" s="312"/>
      <c r="AG15" s="312"/>
      <c r="AH15" s="468">
        <f>ROUND(AH11-AH14,5)</f>
        <v>75000</v>
      </c>
      <c r="AI15" s="312"/>
      <c r="AJ15" s="468">
        <f>ROUND(AJ11-AJ14,5)</f>
        <v>0</v>
      </c>
      <c r="AK15" s="312"/>
      <c r="AL15" s="468">
        <f>ROUND(AL11-AL14,5)</f>
        <v>0</v>
      </c>
      <c r="AM15" s="312"/>
      <c r="AN15" s="468">
        <f>ROUND(AN11-AN14,5)</f>
        <v>125000</v>
      </c>
      <c r="AO15" s="312"/>
      <c r="AP15" s="589">
        <f>ROUND(V15+Z15+AD15+AH15+AL15,5)</f>
        <v>78991.490000000005</v>
      </c>
      <c r="AQ15" s="590"/>
      <c r="AR15" s="589">
        <f>ROUND(X15+AB15+AF15+AJ15+AN15,5)</f>
        <v>125000</v>
      </c>
      <c r="AS15" s="312"/>
      <c r="AT15" s="468">
        <f>ROUND(AT11-AT14,5)</f>
        <v>0</v>
      </c>
      <c r="AU15" s="312"/>
      <c r="AV15" s="312"/>
      <c r="AW15" s="312"/>
      <c r="AX15" s="468">
        <f>ROUND(AX11-AX14,5)</f>
        <v>11430</v>
      </c>
      <c r="AY15" s="312"/>
      <c r="AZ15" s="468">
        <f>ROUND(AZ11-AZ14,5)</f>
        <v>125000</v>
      </c>
      <c r="BA15" s="312"/>
      <c r="BB15" s="589">
        <f>ROUND(AT15+AX15,5)</f>
        <v>11430</v>
      </c>
      <c r="BC15" s="590"/>
      <c r="BD15" s="589">
        <f>ROUND(AV15+AZ15,5)</f>
        <v>125000</v>
      </c>
      <c r="BE15" s="312"/>
      <c r="BF15" s="575">
        <f>ROUND(BF11-BF14,5)</f>
        <v>0</v>
      </c>
      <c r="BG15" s="576"/>
      <c r="BH15" s="575"/>
      <c r="BI15" s="312"/>
      <c r="BJ15" s="575">
        <f>ROUND(BJ11-BJ14,5)</f>
        <v>4829.82</v>
      </c>
      <c r="BK15" s="576"/>
      <c r="BL15" s="575">
        <f>ROUND(BL11-BL14,5)</f>
        <v>90000</v>
      </c>
      <c r="BM15" s="312"/>
      <c r="BN15" s="468">
        <f>ROUND(BB15+BF15+BJ15,5)</f>
        <v>16259.82</v>
      </c>
      <c r="BO15" s="312"/>
      <c r="BP15" s="468">
        <f>ROUND(BD15+BH15+BL15,5)</f>
        <v>215000</v>
      </c>
      <c r="BQ15" s="312"/>
      <c r="BR15" s="468">
        <f>ROUND(BR11-BR14,5)</f>
        <v>0</v>
      </c>
      <c r="BS15" s="312"/>
      <c r="BT15" s="312"/>
      <c r="BU15" s="312"/>
      <c r="BV15" s="468">
        <f>ROUND(BV11-BV14,5)</f>
        <v>71218.100000000006</v>
      </c>
      <c r="BW15" s="312"/>
      <c r="BX15" s="468">
        <f>ROUND(BX11-BX14,5)</f>
        <v>133750</v>
      </c>
      <c r="BY15" s="312"/>
      <c r="BZ15" s="589">
        <f>ROUND(BR15+BV15,5)</f>
        <v>71218.100000000006</v>
      </c>
      <c r="CA15" s="590"/>
      <c r="CB15" s="589">
        <f>ROUND(BT15+BX15,5)</f>
        <v>133750</v>
      </c>
      <c r="CC15" s="312"/>
      <c r="CD15" s="468">
        <f>ROUND(AP15+BN15+BZ15,5)</f>
        <v>166469.41</v>
      </c>
      <c r="CE15" s="312"/>
      <c r="CF15" s="468">
        <f>ROUND(AR15+BP15+CB15,5)</f>
        <v>473750</v>
      </c>
      <c r="CG15" s="312"/>
      <c r="CH15" s="575">
        <f>ROUND(CH11-CH14,5)</f>
        <v>0</v>
      </c>
      <c r="CI15" s="576"/>
      <c r="CJ15" s="576"/>
      <c r="CK15" s="312"/>
      <c r="CL15" s="468">
        <f>ROUND(CL11-CL14,5)</f>
        <v>0</v>
      </c>
      <c r="CM15" s="312"/>
      <c r="CN15" s="468">
        <f>ROUND(CN11-CN14,5)</f>
        <v>0</v>
      </c>
      <c r="CO15" s="312"/>
      <c r="CP15" s="468">
        <f>ROUND(N15+R15+CD15+CH15+CL15,5)</f>
        <v>348409.1</v>
      </c>
      <c r="CQ15" s="312"/>
      <c r="CR15" s="468">
        <f>ROUND(P15+T15+CF15+CJ15+CN15,5)</f>
        <v>645170</v>
      </c>
      <c r="CT15" s="526">
        <f t="shared" si="8"/>
        <v>261420</v>
      </c>
      <c r="CU15" s="523">
        <f t="shared" si="9"/>
        <v>383750</v>
      </c>
      <c r="CV15" s="340">
        <f t="shared" si="10"/>
        <v>645170</v>
      </c>
    </row>
    <row r="16" spans="1:101" x14ac:dyDescent="0.25">
      <c r="D16" s="485" t="s">
        <v>168</v>
      </c>
      <c r="F16" s="468"/>
      <c r="G16" s="312"/>
      <c r="H16" s="468"/>
      <c r="I16" s="312"/>
      <c r="J16" s="468"/>
      <c r="K16" s="312"/>
      <c r="L16" s="468"/>
      <c r="M16" s="312"/>
      <c r="N16" s="575"/>
      <c r="O16" s="576"/>
      <c r="P16" s="575"/>
      <c r="Q16" s="312"/>
      <c r="R16" s="575"/>
      <c r="S16" s="576"/>
      <c r="T16" s="575"/>
      <c r="U16" s="312"/>
      <c r="V16" s="468"/>
      <c r="W16" s="312"/>
      <c r="X16" s="312"/>
      <c r="Y16" s="312"/>
      <c r="Z16" s="468"/>
      <c r="AA16" s="312"/>
      <c r="AB16" s="312"/>
      <c r="AC16" s="312"/>
      <c r="AD16" s="468"/>
      <c r="AE16" s="312"/>
      <c r="AF16" s="312"/>
      <c r="AG16" s="312"/>
      <c r="AH16" s="468"/>
      <c r="AI16" s="312"/>
      <c r="AJ16" s="468"/>
      <c r="AK16" s="312"/>
      <c r="AL16" s="468"/>
      <c r="AM16" s="312"/>
      <c r="AN16" s="468"/>
      <c r="AO16" s="312"/>
      <c r="AP16" s="589"/>
      <c r="AQ16" s="590"/>
      <c r="AR16" s="589"/>
      <c r="AS16" s="312"/>
      <c r="AT16" s="468"/>
      <c r="AU16" s="312"/>
      <c r="AV16" s="312"/>
      <c r="AW16" s="312"/>
      <c r="AX16" s="468"/>
      <c r="AY16" s="312"/>
      <c r="AZ16" s="468"/>
      <c r="BA16" s="312"/>
      <c r="BB16" s="589"/>
      <c r="BC16" s="590"/>
      <c r="BD16" s="589"/>
      <c r="BE16" s="312"/>
      <c r="BF16" s="575"/>
      <c r="BG16" s="576"/>
      <c r="BH16" s="575"/>
      <c r="BI16" s="312"/>
      <c r="BJ16" s="575"/>
      <c r="BK16" s="576"/>
      <c r="BL16" s="575"/>
      <c r="BM16" s="312"/>
      <c r="BN16" s="468"/>
      <c r="BO16" s="312"/>
      <c r="BP16" s="468"/>
      <c r="BQ16" s="312"/>
      <c r="BR16" s="468"/>
      <c r="BS16" s="312"/>
      <c r="BT16" s="312"/>
      <c r="BU16" s="312"/>
      <c r="BV16" s="468"/>
      <c r="BW16" s="312"/>
      <c r="BX16" s="468"/>
      <c r="BY16" s="312"/>
      <c r="BZ16" s="589"/>
      <c r="CA16" s="590"/>
      <c r="CB16" s="589"/>
      <c r="CC16" s="312"/>
      <c r="CD16" s="468"/>
      <c r="CE16" s="312"/>
      <c r="CF16" s="468"/>
      <c r="CG16" s="312"/>
      <c r="CH16" s="575"/>
      <c r="CI16" s="576"/>
      <c r="CJ16" s="576"/>
      <c r="CK16" s="312"/>
      <c r="CL16" s="468"/>
      <c r="CM16" s="312"/>
      <c r="CN16" s="468"/>
      <c r="CO16" s="312"/>
      <c r="CP16" s="468"/>
      <c r="CQ16" s="312"/>
      <c r="CR16" s="468"/>
      <c r="CT16" s="526"/>
      <c r="CU16" s="523"/>
    </row>
    <row r="17" spans="5:100" x14ac:dyDescent="0.25">
      <c r="E17" s="485" t="s">
        <v>497</v>
      </c>
      <c r="F17" s="468">
        <v>0</v>
      </c>
      <c r="G17" s="312"/>
      <c r="H17" s="468"/>
      <c r="I17" s="312"/>
      <c r="J17" s="468">
        <v>0</v>
      </c>
      <c r="K17" s="312"/>
      <c r="L17" s="468"/>
      <c r="M17" s="312"/>
      <c r="N17" s="575">
        <f t="shared" ref="N17:N37" si="11">ROUND(F17+J17,5)</f>
        <v>0</v>
      </c>
      <c r="O17" s="576"/>
      <c r="P17" s="575"/>
      <c r="Q17" s="312"/>
      <c r="R17" s="575">
        <v>0</v>
      </c>
      <c r="S17" s="576"/>
      <c r="T17" s="575"/>
      <c r="U17" s="312"/>
      <c r="V17" s="468">
        <v>0</v>
      </c>
      <c r="W17" s="312"/>
      <c r="X17" s="312"/>
      <c r="Y17" s="312"/>
      <c r="Z17" s="468">
        <v>0</v>
      </c>
      <c r="AA17" s="312"/>
      <c r="AB17" s="312"/>
      <c r="AC17" s="312"/>
      <c r="AD17" s="468">
        <v>0</v>
      </c>
      <c r="AE17" s="312"/>
      <c r="AF17" s="312"/>
      <c r="AG17" s="312"/>
      <c r="AH17" s="468">
        <v>0</v>
      </c>
      <c r="AI17" s="312"/>
      <c r="AJ17" s="468"/>
      <c r="AK17" s="312"/>
      <c r="AL17" s="468">
        <v>0</v>
      </c>
      <c r="AM17" s="312"/>
      <c r="AN17" s="468"/>
      <c r="AO17" s="312"/>
      <c r="AP17" s="589">
        <f t="shared" ref="AP17:AP37" si="12">ROUND(V17+Z17+AD17+AH17+AL17,5)</f>
        <v>0</v>
      </c>
      <c r="AQ17" s="590"/>
      <c r="AR17" s="589"/>
      <c r="AS17" s="312"/>
      <c r="AT17" s="468">
        <v>0</v>
      </c>
      <c r="AU17" s="312"/>
      <c r="AV17" s="312"/>
      <c r="AW17" s="312"/>
      <c r="AX17" s="468">
        <v>0</v>
      </c>
      <c r="AY17" s="312"/>
      <c r="AZ17" s="468"/>
      <c r="BA17" s="312"/>
      <c r="BB17" s="589">
        <f t="shared" ref="BB17:BB37" si="13">ROUND(AT17+AX17,5)</f>
        <v>0</v>
      </c>
      <c r="BC17" s="590"/>
      <c r="BD17" s="589"/>
      <c r="BE17" s="312"/>
      <c r="BF17" s="575">
        <v>0</v>
      </c>
      <c r="BG17" s="576"/>
      <c r="BH17" s="575"/>
      <c r="BI17" s="312"/>
      <c r="BJ17" s="575">
        <v>0</v>
      </c>
      <c r="BK17" s="576"/>
      <c r="BL17" s="575"/>
      <c r="BM17" s="312"/>
      <c r="BN17" s="468">
        <f t="shared" ref="BN17:BN37" si="14">ROUND(BB17+BF17+BJ17,5)</f>
        <v>0</v>
      </c>
      <c r="BO17" s="312"/>
      <c r="BP17" s="468"/>
      <c r="BQ17" s="312"/>
      <c r="BR17" s="468">
        <v>0</v>
      </c>
      <c r="BS17" s="312"/>
      <c r="BT17" s="312"/>
      <c r="BU17" s="312"/>
      <c r="BV17" s="468">
        <v>0</v>
      </c>
      <c r="BW17" s="312"/>
      <c r="BX17" s="468"/>
      <c r="BY17" s="312"/>
      <c r="BZ17" s="589">
        <f t="shared" ref="BZ17:BZ37" si="15">ROUND(BR17+BV17,5)</f>
        <v>0</v>
      </c>
      <c r="CA17" s="590"/>
      <c r="CB17" s="589"/>
      <c r="CC17" s="312"/>
      <c r="CD17" s="468">
        <f t="shared" ref="CD17:CD37" si="16">ROUND(AP17+BN17+BZ17,5)</f>
        <v>0</v>
      </c>
      <c r="CE17" s="312"/>
      <c r="CF17" s="468"/>
      <c r="CG17" s="312"/>
      <c r="CH17" s="575">
        <v>56.35</v>
      </c>
      <c r="CI17" s="576"/>
      <c r="CJ17" s="576"/>
      <c r="CK17" s="312"/>
      <c r="CL17" s="468">
        <v>0</v>
      </c>
      <c r="CM17" s="312"/>
      <c r="CN17" s="468">
        <v>0</v>
      </c>
      <c r="CO17" s="312"/>
      <c r="CP17" s="468">
        <f t="shared" ref="CP17:CP37" si="17">ROUND(N17+R17+CD17+CH17+CL17,5)</f>
        <v>56.35</v>
      </c>
      <c r="CQ17" s="312"/>
      <c r="CR17" s="468">
        <f t="shared" ref="CR17:CR37" si="18">ROUND(P17+T17+CF17+CJ17+CN17,5)</f>
        <v>0</v>
      </c>
      <c r="CT17" s="526">
        <f t="shared" si="8"/>
        <v>0</v>
      </c>
      <c r="CU17" s="523">
        <f t="shared" si="9"/>
        <v>0</v>
      </c>
      <c r="CV17" s="340">
        <f t="shared" ref="CV17:CV37" si="19">CT17+CU17</f>
        <v>0</v>
      </c>
    </row>
    <row r="18" spans="5:100" x14ac:dyDescent="0.25">
      <c r="E18" s="485" t="s">
        <v>169</v>
      </c>
      <c r="F18" s="468">
        <v>5149.3100000000004</v>
      </c>
      <c r="G18" s="312"/>
      <c r="H18" s="468">
        <v>8022</v>
      </c>
      <c r="I18" s="312"/>
      <c r="J18" s="468">
        <v>18243.63</v>
      </c>
      <c r="K18" s="312"/>
      <c r="L18" s="468">
        <v>20131</v>
      </c>
      <c r="M18" s="312"/>
      <c r="N18" s="575">
        <f t="shared" si="11"/>
        <v>23392.94</v>
      </c>
      <c r="O18" s="576"/>
      <c r="P18" s="575">
        <f>ROUND(H18+L18,5)</f>
        <v>28153</v>
      </c>
      <c r="Q18" s="312"/>
      <c r="R18" s="575">
        <v>54864.73</v>
      </c>
      <c r="S18" s="576"/>
      <c r="T18" s="575">
        <v>75687</v>
      </c>
      <c r="U18" s="312"/>
      <c r="V18" s="468">
        <v>0</v>
      </c>
      <c r="W18" s="312"/>
      <c r="X18" s="312"/>
      <c r="Y18" s="312"/>
      <c r="Z18" s="468">
        <v>0</v>
      </c>
      <c r="AA18" s="312"/>
      <c r="AB18" s="312"/>
      <c r="AC18" s="312"/>
      <c r="AD18" s="468">
        <v>0</v>
      </c>
      <c r="AE18" s="312"/>
      <c r="AF18" s="312"/>
      <c r="AG18" s="312"/>
      <c r="AH18" s="468">
        <v>12784.01</v>
      </c>
      <c r="AI18" s="312"/>
      <c r="AJ18" s="468">
        <v>13258</v>
      </c>
      <c r="AK18" s="312"/>
      <c r="AL18" s="468">
        <v>15852.4</v>
      </c>
      <c r="AM18" s="312"/>
      <c r="AN18" s="468">
        <v>29302</v>
      </c>
      <c r="AO18" s="312"/>
      <c r="AP18" s="589">
        <f t="shared" si="12"/>
        <v>28636.41</v>
      </c>
      <c r="AQ18" s="590"/>
      <c r="AR18" s="589">
        <f>ROUND(X18+AB18+AF18+AJ18+AN18,5)</f>
        <v>42560</v>
      </c>
      <c r="AS18" s="312"/>
      <c r="AT18" s="468">
        <v>0</v>
      </c>
      <c r="AU18" s="312"/>
      <c r="AV18" s="312"/>
      <c r="AW18" s="312"/>
      <c r="AX18" s="468">
        <v>32909.519999999997</v>
      </c>
      <c r="AY18" s="312"/>
      <c r="AZ18" s="468">
        <v>45449</v>
      </c>
      <c r="BA18" s="312"/>
      <c r="BB18" s="589">
        <f t="shared" si="13"/>
        <v>32909.519999999997</v>
      </c>
      <c r="BC18" s="590"/>
      <c r="BD18" s="589">
        <f>ROUND(AV18+AZ18,5)</f>
        <v>45449</v>
      </c>
      <c r="BE18" s="312"/>
      <c r="BF18" s="575">
        <v>9628.06</v>
      </c>
      <c r="BG18" s="576"/>
      <c r="BH18" s="575">
        <v>11277</v>
      </c>
      <c r="BI18" s="312"/>
      <c r="BJ18" s="575">
        <v>7628.84</v>
      </c>
      <c r="BK18" s="576"/>
      <c r="BL18" s="575">
        <v>10772</v>
      </c>
      <c r="BM18" s="312"/>
      <c r="BN18" s="468">
        <f t="shared" si="14"/>
        <v>50166.42</v>
      </c>
      <c r="BO18" s="312"/>
      <c r="BP18" s="468">
        <f>ROUND(BD18+BH18+BL18,5)</f>
        <v>67498</v>
      </c>
      <c r="BQ18" s="312"/>
      <c r="BR18" s="468">
        <v>0</v>
      </c>
      <c r="BS18" s="312"/>
      <c r="BT18" s="312"/>
      <c r="BU18" s="312"/>
      <c r="BV18" s="468">
        <v>58253.77</v>
      </c>
      <c r="BW18" s="312"/>
      <c r="BX18" s="468">
        <v>78550</v>
      </c>
      <c r="BY18" s="312"/>
      <c r="BZ18" s="589">
        <f t="shared" si="15"/>
        <v>58253.77</v>
      </c>
      <c r="CA18" s="590"/>
      <c r="CB18" s="589">
        <f>ROUND(BT18+BX18,5)</f>
        <v>78550</v>
      </c>
      <c r="CC18" s="312"/>
      <c r="CD18" s="468">
        <f t="shared" si="16"/>
        <v>137056.6</v>
      </c>
      <c r="CE18" s="312"/>
      <c r="CF18" s="468">
        <f>ROUND(AR18+BP18+CB18,5)</f>
        <v>188608</v>
      </c>
      <c r="CG18" s="312"/>
      <c r="CH18" s="575">
        <v>34976.839999999997</v>
      </c>
      <c r="CI18" s="576"/>
      <c r="CJ18" s="576"/>
      <c r="CK18" s="312"/>
      <c r="CL18" s="468">
        <v>0</v>
      </c>
      <c r="CM18" s="312"/>
      <c r="CN18" s="468">
        <v>0</v>
      </c>
      <c r="CO18" s="312"/>
      <c r="CP18" s="468">
        <f t="shared" si="17"/>
        <v>250291.11</v>
      </c>
      <c r="CQ18" s="312"/>
      <c r="CR18" s="468">
        <f t="shared" si="18"/>
        <v>292448</v>
      </c>
      <c r="CT18" s="526">
        <f t="shared" si="8"/>
        <v>125889</v>
      </c>
      <c r="CU18" s="523">
        <f t="shared" si="9"/>
        <v>166559</v>
      </c>
      <c r="CV18" s="340">
        <f t="shared" si="19"/>
        <v>292448</v>
      </c>
    </row>
    <row r="19" spans="5:100" x14ac:dyDescent="0.25">
      <c r="E19" s="485" t="s">
        <v>412</v>
      </c>
      <c r="F19" s="468">
        <v>0</v>
      </c>
      <c r="G19" s="312"/>
      <c r="H19" s="468"/>
      <c r="I19" s="312"/>
      <c r="J19" s="468">
        <v>0</v>
      </c>
      <c r="K19" s="312"/>
      <c r="L19" s="468">
        <v>0</v>
      </c>
      <c r="M19" s="312"/>
      <c r="N19" s="575">
        <f t="shared" si="11"/>
        <v>0</v>
      </c>
      <c r="O19" s="576"/>
      <c r="P19" s="575">
        <f>ROUND(H19+L19,5)</f>
        <v>0</v>
      </c>
      <c r="Q19" s="312"/>
      <c r="R19" s="575">
        <v>0</v>
      </c>
      <c r="S19" s="576"/>
      <c r="T19" s="575"/>
      <c r="U19" s="312"/>
      <c r="V19" s="468">
        <v>0</v>
      </c>
      <c r="W19" s="312"/>
      <c r="X19" s="312"/>
      <c r="Y19" s="312"/>
      <c r="Z19" s="468">
        <v>0</v>
      </c>
      <c r="AA19" s="312"/>
      <c r="AB19" s="312"/>
      <c r="AC19" s="312"/>
      <c r="AD19" s="468">
        <v>0</v>
      </c>
      <c r="AE19" s="312"/>
      <c r="AF19" s="312"/>
      <c r="AG19" s="312"/>
      <c r="AH19" s="468">
        <v>0</v>
      </c>
      <c r="AI19" s="312"/>
      <c r="AJ19" s="468"/>
      <c r="AK19" s="312"/>
      <c r="AL19" s="468">
        <v>0</v>
      </c>
      <c r="AM19" s="312"/>
      <c r="AN19" s="468"/>
      <c r="AO19" s="312"/>
      <c r="AP19" s="589">
        <f t="shared" si="12"/>
        <v>0</v>
      </c>
      <c r="AQ19" s="590"/>
      <c r="AR19" s="589"/>
      <c r="AS19" s="312"/>
      <c r="AT19" s="468">
        <v>0</v>
      </c>
      <c r="AU19" s="312"/>
      <c r="AV19" s="312"/>
      <c r="AW19" s="312"/>
      <c r="AX19" s="468">
        <v>0</v>
      </c>
      <c r="AY19" s="312"/>
      <c r="AZ19" s="468"/>
      <c r="BA19" s="312"/>
      <c r="BB19" s="589">
        <f t="shared" si="13"/>
        <v>0</v>
      </c>
      <c r="BC19" s="590"/>
      <c r="BD19" s="589"/>
      <c r="BE19" s="312"/>
      <c r="BF19" s="575">
        <v>0</v>
      </c>
      <c r="BG19" s="576"/>
      <c r="BH19" s="575"/>
      <c r="BI19" s="312"/>
      <c r="BJ19" s="575">
        <v>0</v>
      </c>
      <c r="BK19" s="576"/>
      <c r="BL19" s="575"/>
      <c r="BM19" s="312"/>
      <c r="BN19" s="468">
        <f t="shared" si="14"/>
        <v>0</v>
      </c>
      <c r="BO19" s="312"/>
      <c r="BP19" s="468"/>
      <c r="BQ19" s="312"/>
      <c r="BR19" s="468">
        <v>0</v>
      </c>
      <c r="BS19" s="312"/>
      <c r="BT19" s="312"/>
      <c r="BU19" s="312"/>
      <c r="BV19" s="468">
        <v>0</v>
      </c>
      <c r="BW19" s="312"/>
      <c r="BX19" s="468"/>
      <c r="BY19" s="312"/>
      <c r="BZ19" s="589">
        <f t="shared" si="15"/>
        <v>0</v>
      </c>
      <c r="CA19" s="590"/>
      <c r="CB19" s="589"/>
      <c r="CC19" s="312"/>
      <c r="CD19" s="468">
        <f t="shared" si="16"/>
        <v>0</v>
      </c>
      <c r="CE19" s="312"/>
      <c r="CF19" s="468"/>
      <c r="CG19" s="312"/>
      <c r="CH19" s="575">
        <v>0</v>
      </c>
      <c r="CI19" s="576"/>
      <c r="CJ19" s="576"/>
      <c r="CK19" s="312"/>
      <c r="CL19" s="468">
        <v>0</v>
      </c>
      <c r="CM19" s="312"/>
      <c r="CN19" s="468">
        <v>0</v>
      </c>
      <c r="CO19" s="312"/>
      <c r="CP19" s="468">
        <f t="shared" si="17"/>
        <v>0</v>
      </c>
      <c r="CQ19" s="312"/>
      <c r="CR19" s="468">
        <f t="shared" si="18"/>
        <v>0</v>
      </c>
      <c r="CT19" s="526">
        <f t="shared" si="8"/>
        <v>0</v>
      </c>
      <c r="CU19" s="523">
        <f t="shared" si="9"/>
        <v>0</v>
      </c>
      <c r="CV19" s="340">
        <f t="shared" si="19"/>
        <v>0</v>
      </c>
    </row>
    <row r="20" spans="5:100" x14ac:dyDescent="0.25">
      <c r="E20" s="485" t="s">
        <v>403</v>
      </c>
      <c r="F20" s="468">
        <v>0</v>
      </c>
      <c r="G20" s="312"/>
      <c r="H20" s="468"/>
      <c r="I20" s="312"/>
      <c r="J20" s="468">
        <v>8116.25</v>
      </c>
      <c r="K20" s="312"/>
      <c r="L20" s="468">
        <v>20450</v>
      </c>
      <c r="M20" s="312"/>
      <c r="N20" s="575">
        <f t="shared" si="11"/>
        <v>8116.25</v>
      </c>
      <c r="O20" s="576"/>
      <c r="P20" s="575">
        <f>ROUND(H20+L20,5)</f>
        <v>20450</v>
      </c>
      <c r="Q20" s="312"/>
      <c r="R20" s="575">
        <v>0</v>
      </c>
      <c r="S20" s="576"/>
      <c r="T20" s="575"/>
      <c r="U20" s="312"/>
      <c r="V20" s="468">
        <v>0</v>
      </c>
      <c r="W20" s="312"/>
      <c r="X20" s="312"/>
      <c r="Y20" s="312"/>
      <c r="Z20" s="468">
        <v>0</v>
      </c>
      <c r="AA20" s="312"/>
      <c r="AB20" s="312"/>
      <c r="AC20" s="312"/>
      <c r="AD20" s="468">
        <v>0</v>
      </c>
      <c r="AE20" s="312"/>
      <c r="AF20" s="312"/>
      <c r="AG20" s="312"/>
      <c r="AH20" s="468">
        <v>0</v>
      </c>
      <c r="AI20" s="312"/>
      <c r="AJ20" s="468"/>
      <c r="AK20" s="312"/>
      <c r="AL20" s="468">
        <v>0</v>
      </c>
      <c r="AM20" s="312"/>
      <c r="AN20" s="468"/>
      <c r="AO20" s="312"/>
      <c r="AP20" s="589">
        <f t="shared" si="12"/>
        <v>0</v>
      </c>
      <c r="AQ20" s="590"/>
      <c r="AR20" s="589"/>
      <c r="AS20" s="312"/>
      <c r="AT20" s="468">
        <v>0</v>
      </c>
      <c r="AU20" s="312"/>
      <c r="AV20" s="312"/>
      <c r="AW20" s="312"/>
      <c r="AX20" s="468">
        <v>0</v>
      </c>
      <c r="AY20" s="312"/>
      <c r="AZ20" s="468"/>
      <c r="BA20" s="312"/>
      <c r="BB20" s="589">
        <f t="shared" si="13"/>
        <v>0</v>
      </c>
      <c r="BC20" s="590"/>
      <c r="BD20" s="589"/>
      <c r="BE20" s="312"/>
      <c r="BF20" s="575">
        <v>0</v>
      </c>
      <c r="BG20" s="576"/>
      <c r="BH20" s="575"/>
      <c r="BI20" s="312"/>
      <c r="BJ20" s="575">
        <v>0</v>
      </c>
      <c r="BK20" s="576"/>
      <c r="BL20" s="575"/>
      <c r="BM20" s="312"/>
      <c r="BN20" s="468">
        <f t="shared" si="14"/>
        <v>0</v>
      </c>
      <c r="BO20" s="312"/>
      <c r="BP20" s="468"/>
      <c r="BQ20" s="312"/>
      <c r="BR20" s="468">
        <v>0</v>
      </c>
      <c r="BS20" s="312"/>
      <c r="BT20" s="312"/>
      <c r="BU20" s="312"/>
      <c r="BV20" s="468">
        <v>0</v>
      </c>
      <c r="BW20" s="312"/>
      <c r="BX20" s="468"/>
      <c r="BY20" s="312"/>
      <c r="BZ20" s="589">
        <f t="shared" si="15"/>
        <v>0</v>
      </c>
      <c r="CA20" s="590"/>
      <c r="CB20" s="589"/>
      <c r="CC20" s="312"/>
      <c r="CD20" s="468">
        <f t="shared" si="16"/>
        <v>0</v>
      </c>
      <c r="CE20" s="312"/>
      <c r="CF20" s="468"/>
      <c r="CG20" s="312"/>
      <c r="CH20" s="575">
        <v>0</v>
      </c>
      <c r="CI20" s="576"/>
      <c r="CJ20" s="576"/>
      <c r="CK20" s="312"/>
      <c r="CL20" s="468">
        <v>0</v>
      </c>
      <c r="CM20" s="312"/>
      <c r="CN20" s="468">
        <v>0</v>
      </c>
      <c r="CO20" s="312"/>
      <c r="CP20" s="468">
        <f t="shared" si="17"/>
        <v>8116.25</v>
      </c>
      <c r="CQ20" s="312"/>
      <c r="CR20" s="468">
        <f t="shared" si="18"/>
        <v>20450</v>
      </c>
      <c r="CT20" s="526">
        <f t="shared" si="8"/>
        <v>20450</v>
      </c>
      <c r="CU20" s="523">
        <f t="shared" si="9"/>
        <v>0</v>
      </c>
      <c r="CV20" s="340">
        <f t="shared" si="19"/>
        <v>20450</v>
      </c>
    </row>
    <row r="21" spans="5:100" x14ac:dyDescent="0.25">
      <c r="E21" s="485" t="s">
        <v>404</v>
      </c>
      <c r="F21" s="468">
        <v>0</v>
      </c>
      <c r="G21" s="312"/>
      <c r="H21" s="468"/>
      <c r="I21" s="312"/>
      <c r="J21" s="468">
        <v>1246.75</v>
      </c>
      <c r="K21" s="312"/>
      <c r="L21" s="468">
        <v>1500</v>
      </c>
      <c r="M21" s="312"/>
      <c r="N21" s="575">
        <f t="shared" si="11"/>
        <v>1246.75</v>
      </c>
      <c r="O21" s="576"/>
      <c r="P21" s="575">
        <f>ROUND(H21+L21,5)</f>
        <v>1500</v>
      </c>
      <c r="Q21" s="312"/>
      <c r="R21" s="575">
        <v>361.67</v>
      </c>
      <c r="S21" s="576"/>
      <c r="T21" s="575">
        <v>1500</v>
      </c>
      <c r="U21" s="312"/>
      <c r="V21" s="468">
        <v>0</v>
      </c>
      <c r="W21" s="312"/>
      <c r="X21" s="312"/>
      <c r="Y21" s="312"/>
      <c r="Z21" s="468">
        <v>0</v>
      </c>
      <c r="AA21" s="312"/>
      <c r="AB21" s="312"/>
      <c r="AC21" s="312"/>
      <c r="AD21" s="468">
        <v>0</v>
      </c>
      <c r="AE21" s="312"/>
      <c r="AF21" s="312"/>
      <c r="AG21" s="312"/>
      <c r="AH21" s="468">
        <v>0</v>
      </c>
      <c r="AI21" s="312"/>
      <c r="AJ21" s="468"/>
      <c r="AK21" s="312"/>
      <c r="AL21" s="468">
        <v>0</v>
      </c>
      <c r="AM21" s="312"/>
      <c r="AN21" s="468"/>
      <c r="AO21" s="312"/>
      <c r="AP21" s="589">
        <f t="shared" si="12"/>
        <v>0</v>
      </c>
      <c r="AQ21" s="590"/>
      <c r="AR21" s="589"/>
      <c r="AS21" s="312"/>
      <c r="AT21" s="468">
        <v>0</v>
      </c>
      <c r="AU21" s="312"/>
      <c r="AV21" s="312"/>
      <c r="AW21" s="312"/>
      <c r="AX21" s="468">
        <v>0</v>
      </c>
      <c r="AY21" s="312"/>
      <c r="AZ21" s="468">
        <v>500</v>
      </c>
      <c r="BA21" s="312"/>
      <c r="BB21" s="589">
        <f t="shared" si="13"/>
        <v>0</v>
      </c>
      <c r="BC21" s="590"/>
      <c r="BD21" s="589">
        <f>ROUND(AV21+AZ21,5)</f>
        <v>500</v>
      </c>
      <c r="BE21" s="312"/>
      <c r="BF21" s="575">
        <v>0</v>
      </c>
      <c r="BG21" s="576"/>
      <c r="BH21" s="575"/>
      <c r="BI21" s="312"/>
      <c r="BJ21" s="575">
        <v>54.97</v>
      </c>
      <c r="BK21" s="576"/>
      <c r="BL21" s="575"/>
      <c r="BM21" s="312"/>
      <c r="BN21" s="468">
        <f t="shared" si="14"/>
        <v>54.97</v>
      </c>
      <c r="BO21" s="312"/>
      <c r="BP21" s="468">
        <f t="shared" ref="BP21:BP30" si="20">ROUND(BD21+BH21+BL21,5)</f>
        <v>500</v>
      </c>
      <c r="BQ21" s="312"/>
      <c r="BR21" s="468">
        <v>0</v>
      </c>
      <c r="BS21" s="312"/>
      <c r="BT21" s="312"/>
      <c r="BU21" s="312"/>
      <c r="BV21" s="468">
        <v>53.13</v>
      </c>
      <c r="BW21" s="312"/>
      <c r="BX21" s="468"/>
      <c r="BY21" s="312"/>
      <c r="BZ21" s="589">
        <f t="shared" si="15"/>
        <v>53.13</v>
      </c>
      <c r="CA21" s="590"/>
      <c r="CB21" s="589"/>
      <c r="CC21" s="312"/>
      <c r="CD21" s="468">
        <f t="shared" si="16"/>
        <v>108.1</v>
      </c>
      <c r="CE21" s="312"/>
      <c r="CF21" s="468">
        <f t="shared" ref="CF21:CF30" si="21">ROUND(AR21+BP21+CB21,5)</f>
        <v>500</v>
      </c>
      <c r="CG21" s="312"/>
      <c r="CH21" s="575">
        <v>0</v>
      </c>
      <c r="CI21" s="576"/>
      <c r="CJ21" s="576"/>
      <c r="CK21" s="312"/>
      <c r="CL21" s="468">
        <v>0</v>
      </c>
      <c r="CM21" s="312"/>
      <c r="CN21" s="468">
        <v>0</v>
      </c>
      <c r="CO21" s="312"/>
      <c r="CP21" s="468">
        <f t="shared" si="17"/>
        <v>1716.52</v>
      </c>
      <c r="CQ21" s="312"/>
      <c r="CR21" s="468">
        <f t="shared" si="18"/>
        <v>3500</v>
      </c>
      <c r="CT21" s="526">
        <f t="shared" si="8"/>
        <v>3000</v>
      </c>
      <c r="CU21" s="523">
        <f t="shared" si="9"/>
        <v>500</v>
      </c>
      <c r="CV21" s="340">
        <f t="shared" si="19"/>
        <v>3500</v>
      </c>
    </row>
    <row r="22" spans="5:100" x14ac:dyDescent="0.25">
      <c r="E22" s="485" t="s">
        <v>405</v>
      </c>
      <c r="F22" s="468">
        <v>3.83</v>
      </c>
      <c r="G22" s="312"/>
      <c r="H22" s="468"/>
      <c r="I22" s="312"/>
      <c r="J22" s="468">
        <v>14.03</v>
      </c>
      <c r="K22" s="312"/>
      <c r="L22" s="468"/>
      <c r="M22" s="312"/>
      <c r="N22" s="575">
        <f t="shared" si="11"/>
        <v>17.86</v>
      </c>
      <c r="O22" s="576"/>
      <c r="P22" s="575"/>
      <c r="Q22" s="312"/>
      <c r="R22" s="575">
        <v>40.840000000000003</v>
      </c>
      <c r="S22" s="576"/>
      <c r="T22" s="575"/>
      <c r="U22" s="312"/>
      <c r="V22" s="468">
        <v>0</v>
      </c>
      <c r="W22" s="312"/>
      <c r="X22" s="312"/>
      <c r="Y22" s="312"/>
      <c r="Z22" s="468">
        <v>0</v>
      </c>
      <c r="AA22" s="312"/>
      <c r="AB22" s="312"/>
      <c r="AC22" s="312"/>
      <c r="AD22" s="468">
        <v>0</v>
      </c>
      <c r="AE22" s="312"/>
      <c r="AF22" s="312"/>
      <c r="AG22" s="312"/>
      <c r="AH22" s="468">
        <v>10.210000000000001</v>
      </c>
      <c r="AI22" s="312"/>
      <c r="AJ22" s="468"/>
      <c r="AK22" s="312"/>
      <c r="AL22" s="468">
        <v>17.87</v>
      </c>
      <c r="AM22" s="312"/>
      <c r="AN22" s="468"/>
      <c r="AO22" s="312"/>
      <c r="AP22" s="589">
        <f t="shared" si="12"/>
        <v>28.08</v>
      </c>
      <c r="AQ22" s="590"/>
      <c r="AR22" s="589"/>
      <c r="AS22" s="312"/>
      <c r="AT22" s="468">
        <v>0</v>
      </c>
      <c r="AU22" s="312"/>
      <c r="AV22" s="312"/>
      <c r="AW22" s="312"/>
      <c r="AX22" s="468">
        <v>33.18</v>
      </c>
      <c r="AY22" s="312"/>
      <c r="AZ22" s="468"/>
      <c r="BA22" s="312"/>
      <c r="BB22" s="589">
        <f t="shared" si="13"/>
        <v>33.18</v>
      </c>
      <c r="BC22" s="590"/>
      <c r="BD22" s="589"/>
      <c r="BE22" s="312"/>
      <c r="BF22" s="575">
        <v>5.1100000000000003</v>
      </c>
      <c r="BG22" s="576"/>
      <c r="BH22" s="575"/>
      <c r="BI22" s="312"/>
      <c r="BJ22" s="575">
        <v>7.66</v>
      </c>
      <c r="BK22" s="576"/>
      <c r="BL22" s="575">
        <v>1000</v>
      </c>
      <c r="BM22" s="312"/>
      <c r="BN22" s="468">
        <f t="shared" si="14"/>
        <v>45.95</v>
      </c>
      <c r="BO22" s="312"/>
      <c r="BP22" s="468">
        <f t="shared" si="20"/>
        <v>1000</v>
      </c>
      <c r="BQ22" s="312"/>
      <c r="BR22" s="468">
        <v>0</v>
      </c>
      <c r="BS22" s="312"/>
      <c r="BT22" s="312"/>
      <c r="BU22" s="312"/>
      <c r="BV22" s="468">
        <v>53.61</v>
      </c>
      <c r="BW22" s="312"/>
      <c r="BX22" s="468"/>
      <c r="BY22" s="312"/>
      <c r="BZ22" s="589">
        <f t="shared" si="15"/>
        <v>53.61</v>
      </c>
      <c r="CA22" s="590"/>
      <c r="CB22" s="589"/>
      <c r="CC22" s="312"/>
      <c r="CD22" s="468">
        <f t="shared" si="16"/>
        <v>127.64</v>
      </c>
      <c r="CE22" s="312"/>
      <c r="CF22" s="468">
        <f t="shared" si="21"/>
        <v>1000</v>
      </c>
      <c r="CG22" s="312"/>
      <c r="CH22" s="575">
        <v>0</v>
      </c>
      <c r="CI22" s="576"/>
      <c r="CJ22" s="576"/>
      <c r="CK22" s="312"/>
      <c r="CL22" s="468">
        <v>0</v>
      </c>
      <c r="CM22" s="312"/>
      <c r="CN22" s="468">
        <v>0</v>
      </c>
      <c r="CO22" s="312"/>
      <c r="CP22" s="468">
        <f t="shared" si="17"/>
        <v>186.34</v>
      </c>
      <c r="CQ22" s="312"/>
      <c r="CR22" s="468">
        <f t="shared" si="18"/>
        <v>1000</v>
      </c>
      <c r="CT22" s="526">
        <f t="shared" si="8"/>
        <v>1000</v>
      </c>
      <c r="CU22" s="523">
        <f t="shared" si="9"/>
        <v>0</v>
      </c>
      <c r="CV22" s="340">
        <f t="shared" si="19"/>
        <v>1000</v>
      </c>
    </row>
    <row r="23" spans="5:100" x14ac:dyDescent="0.25">
      <c r="E23" s="485" t="s">
        <v>173</v>
      </c>
      <c r="F23" s="468">
        <v>256.14999999999998</v>
      </c>
      <c r="G23" s="312"/>
      <c r="H23" s="468">
        <v>20</v>
      </c>
      <c r="I23" s="312"/>
      <c r="J23" s="468">
        <v>293.02</v>
      </c>
      <c r="K23" s="312"/>
      <c r="L23" s="468">
        <v>72</v>
      </c>
      <c r="M23" s="312"/>
      <c r="N23" s="575">
        <f t="shared" si="11"/>
        <v>549.16999999999996</v>
      </c>
      <c r="O23" s="576"/>
      <c r="P23" s="575">
        <f t="shared" ref="P23:P33" si="22">ROUND(H23+L23,5)</f>
        <v>92</v>
      </c>
      <c r="Q23" s="312"/>
      <c r="R23" s="575">
        <v>1097.77</v>
      </c>
      <c r="S23" s="576"/>
      <c r="T23" s="575">
        <v>211</v>
      </c>
      <c r="U23" s="312"/>
      <c r="V23" s="468">
        <v>0</v>
      </c>
      <c r="W23" s="312"/>
      <c r="X23" s="312"/>
      <c r="Y23" s="312"/>
      <c r="Z23" s="468">
        <v>0</v>
      </c>
      <c r="AA23" s="312"/>
      <c r="AB23" s="312"/>
      <c r="AC23" s="312"/>
      <c r="AD23" s="468">
        <v>0</v>
      </c>
      <c r="AE23" s="312"/>
      <c r="AF23" s="312"/>
      <c r="AG23" s="312"/>
      <c r="AH23" s="468">
        <v>277.95</v>
      </c>
      <c r="AI23" s="312"/>
      <c r="AJ23" s="468">
        <v>53</v>
      </c>
      <c r="AK23" s="312"/>
      <c r="AL23" s="468">
        <v>312.83999999999997</v>
      </c>
      <c r="AM23" s="312"/>
      <c r="AN23" s="468">
        <v>10092</v>
      </c>
      <c r="AO23" s="312"/>
      <c r="AP23" s="589">
        <f t="shared" si="12"/>
        <v>590.79</v>
      </c>
      <c r="AQ23" s="590"/>
      <c r="AR23" s="589">
        <f t="shared" ref="AR23:AR30" si="23">ROUND(X23+AB23+AF23+AJ23+AN23,5)</f>
        <v>10145</v>
      </c>
      <c r="AS23" s="312"/>
      <c r="AT23" s="468">
        <v>0</v>
      </c>
      <c r="AU23" s="312"/>
      <c r="AV23" s="312"/>
      <c r="AW23" s="312"/>
      <c r="AX23" s="468">
        <v>352.27</v>
      </c>
      <c r="AY23" s="312"/>
      <c r="AZ23" s="468">
        <v>171</v>
      </c>
      <c r="BA23" s="312"/>
      <c r="BB23" s="589">
        <f t="shared" si="13"/>
        <v>352.27</v>
      </c>
      <c r="BC23" s="590"/>
      <c r="BD23" s="589">
        <f t="shared" ref="BD23:BD30" si="24">ROUND(AV23+AZ23,5)</f>
        <v>171</v>
      </c>
      <c r="BE23" s="312"/>
      <c r="BF23" s="575">
        <v>35.68</v>
      </c>
      <c r="BG23" s="576"/>
      <c r="BH23" s="575">
        <v>26</v>
      </c>
      <c r="BI23" s="312"/>
      <c r="BJ23" s="575">
        <v>242.07</v>
      </c>
      <c r="BK23" s="576"/>
      <c r="BL23" s="575">
        <v>39</v>
      </c>
      <c r="BM23" s="312"/>
      <c r="BN23" s="468">
        <f t="shared" si="14"/>
        <v>630.02</v>
      </c>
      <c r="BO23" s="312"/>
      <c r="BP23" s="468">
        <f t="shared" si="20"/>
        <v>236</v>
      </c>
      <c r="BQ23" s="312"/>
      <c r="BR23" s="468">
        <v>0</v>
      </c>
      <c r="BS23" s="312"/>
      <c r="BT23" s="312"/>
      <c r="BU23" s="312"/>
      <c r="BV23" s="468">
        <v>522.34</v>
      </c>
      <c r="BW23" s="312"/>
      <c r="BX23" s="468">
        <v>276</v>
      </c>
      <c r="BY23" s="312"/>
      <c r="BZ23" s="589">
        <f t="shared" si="15"/>
        <v>522.34</v>
      </c>
      <c r="CA23" s="590"/>
      <c r="CB23" s="589">
        <f t="shared" ref="CB23:CB30" si="25">ROUND(BT23+BX23,5)</f>
        <v>276</v>
      </c>
      <c r="CC23" s="312"/>
      <c r="CD23" s="468">
        <f t="shared" si="16"/>
        <v>1743.15</v>
      </c>
      <c r="CE23" s="312"/>
      <c r="CF23" s="468">
        <f t="shared" si="21"/>
        <v>10657</v>
      </c>
      <c r="CG23" s="312"/>
      <c r="CH23" s="575">
        <v>0</v>
      </c>
      <c r="CI23" s="576"/>
      <c r="CJ23" s="576"/>
      <c r="CK23" s="312"/>
      <c r="CL23" s="468">
        <v>0</v>
      </c>
      <c r="CM23" s="312"/>
      <c r="CN23" s="468">
        <v>0</v>
      </c>
      <c r="CO23" s="312"/>
      <c r="CP23" s="468">
        <f t="shared" si="17"/>
        <v>3390.09</v>
      </c>
      <c r="CQ23" s="312"/>
      <c r="CR23" s="468">
        <f t="shared" si="18"/>
        <v>10960</v>
      </c>
      <c r="CT23" s="526">
        <f t="shared" si="8"/>
        <v>368</v>
      </c>
      <c r="CU23" s="523">
        <f t="shared" si="9"/>
        <v>10592</v>
      </c>
      <c r="CV23" s="340">
        <f t="shared" si="19"/>
        <v>10960</v>
      </c>
    </row>
    <row r="24" spans="5:100" x14ac:dyDescent="0.25">
      <c r="E24" s="485" t="s">
        <v>174</v>
      </c>
      <c r="F24" s="468">
        <v>76.09</v>
      </c>
      <c r="G24" s="312"/>
      <c r="H24" s="468">
        <v>77</v>
      </c>
      <c r="I24" s="312"/>
      <c r="J24" s="468">
        <v>303.23</v>
      </c>
      <c r="K24" s="312"/>
      <c r="L24" s="468">
        <v>2263</v>
      </c>
      <c r="M24" s="312"/>
      <c r="N24" s="575">
        <f t="shared" si="11"/>
        <v>379.32</v>
      </c>
      <c r="O24" s="576"/>
      <c r="P24" s="575">
        <f t="shared" si="22"/>
        <v>2340</v>
      </c>
      <c r="Q24" s="312"/>
      <c r="R24" s="575">
        <v>778.87</v>
      </c>
      <c r="S24" s="576"/>
      <c r="T24" s="575">
        <v>1904</v>
      </c>
      <c r="U24" s="312"/>
      <c r="V24" s="468">
        <v>0</v>
      </c>
      <c r="W24" s="312"/>
      <c r="X24" s="312"/>
      <c r="Y24" s="312"/>
      <c r="Z24" s="468">
        <v>0</v>
      </c>
      <c r="AA24" s="312"/>
      <c r="AB24" s="312"/>
      <c r="AC24" s="312"/>
      <c r="AD24" s="468">
        <v>0</v>
      </c>
      <c r="AE24" s="312"/>
      <c r="AF24" s="312"/>
      <c r="AG24" s="312"/>
      <c r="AH24" s="468">
        <v>210.61</v>
      </c>
      <c r="AI24" s="312"/>
      <c r="AJ24" s="468">
        <v>206</v>
      </c>
      <c r="AK24" s="312"/>
      <c r="AL24" s="468">
        <v>318.13</v>
      </c>
      <c r="AM24" s="312"/>
      <c r="AN24" s="468">
        <v>361</v>
      </c>
      <c r="AO24" s="312"/>
      <c r="AP24" s="589">
        <f t="shared" si="12"/>
        <v>528.74</v>
      </c>
      <c r="AQ24" s="590"/>
      <c r="AR24" s="589">
        <f t="shared" si="23"/>
        <v>567</v>
      </c>
      <c r="AS24" s="312"/>
      <c r="AT24" s="468">
        <v>0</v>
      </c>
      <c r="AU24" s="312"/>
      <c r="AV24" s="312"/>
      <c r="AW24" s="312"/>
      <c r="AX24" s="468">
        <v>518.86</v>
      </c>
      <c r="AY24" s="312"/>
      <c r="AZ24" s="468">
        <v>670</v>
      </c>
      <c r="BA24" s="312"/>
      <c r="BB24" s="589">
        <f t="shared" si="13"/>
        <v>518.86</v>
      </c>
      <c r="BC24" s="590"/>
      <c r="BD24" s="589">
        <f t="shared" si="24"/>
        <v>670</v>
      </c>
      <c r="BE24" s="312"/>
      <c r="BF24" s="575">
        <v>91.84</v>
      </c>
      <c r="BG24" s="576"/>
      <c r="BH24" s="575">
        <v>103</v>
      </c>
      <c r="BI24" s="312"/>
      <c r="BJ24" s="575">
        <v>104.68</v>
      </c>
      <c r="BK24" s="576"/>
      <c r="BL24" s="575">
        <v>155</v>
      </c>
      <c r="BM24" s="312"/>
      <c r="BN24" s="468">
        <f t="shared" si="14"/>
        <v>715.38</v>
      </c>
      <c r="BO24" s="312"/>
      <c r="BP24" s="468">
        <f t="shared" si="20"/>
        <v>928</v>
      </c>
      <c r="BQ24" s="312"/>
      <c r="BR24" s="468">
        <v>0</v>
      </c>
      <c r="BS24" s="312"/>
      <c r="BT24" s="312"/>
      <c r="BU24" s="312"/>
      <c r="BV24" s="468">
        <v>1161.04</v>
      </c>
      <c r="BW24" s="312"/>
      <c r="BX24" s="468">
        <v>7022</v>
      </c>
      <c r="BY24" s="312"/>
      <c r="BZ24" s="589">
        <f t="shared" si="15"/>
        <v>1161.04</v>
      </c>
      <c r="CA24" s="590"/>
      <c r="CB24" s="589">
        <f t="shared" si="25"/>
        <v>7022</v>
      </c>
      <c r="CC24" s="312"/>
      <c r="CD24" s="468">
        <f t="shared" si="16"/>
        <v>2405.16</v>
      </c>
      <c r="CE24" s="312"/>
      <c r="CF24" s="468">
        <f t="shared" si="21"/>
        <v>8517</v>
      </c>
      <c r="CG24" s="312"/>
      <c r="CH24" s="575">
        <v>468.83</v>
      </c>
      <c r="CI24" s="576"/>
      <c r="CJ24" s="576"/>
      <c r="CK24" s="312"/>
      <c r="CL24" s="468">
        <v>0</v>
      </c>
      <c r="CM24" s="312"/>
      <c r="CN24" s="468">
        <v>0</v>
      </c>
      <c r="CO24" s="312"/>
      <c r="CP24" s="468">
        <f t="shared" si="17"/>
        <v>4032.18</v>
      </c>
      <c r="CQ24" s="312"/>
      <c r="CR24" s="468">
        <f t="shared" si="18"/>
        <v>12761</v>
      </c>
      <c r="CT24" s="526">
        <f t="shared" si="8"/>
        <v>4502</v>
      </c>
      <c r="CU24" s="523">
        <f t="shared" si="9"/>
        <v>8259</v>
      </c>
      <c r="CV24" s="340">
        <f t="shared" si="19"/>
        <v>12761</v>
      </c>
    </row>
    <row r="25" spans="5:100" x14ac:dyDescent="0.25">
      <c r="E25" s="485" t="s">
        <v>175</v>
      </c>
      <c r="F25" s="468">
        <v>6.56</v>
      </c>
      <c r="G25" s="312"/>
      <c r="H25" s="468">
        <v>9</v>
      </c>
      <c r="I25" s="312"/>
      <c r="J25" s="468">
        <v>63.62</v>
      </c>
      <c r="K25" s="312"/>
      <c r="L25" s="468">
        <v>33</v>
      </c>
      <c r="M25" s="312"/>
      <c r="N25" s="575">
        <f t="shared" si="11"/>
        <v>70.180000000000007</v>
      </c>
      <c r="O25" s="576"/>
      <c r="P25" s="575">
        <f t="shared" si="22"/>
        <v>42</v>
      </c>
      <c r="Q25" s="312"/>
      <c r="R25" s="575">
        <v>3643.43</v>
      </c>
      <c r="S25" s="576"/>
      <c r="T25" s="575">
        <v>2595</v>
      </c>
      <c r="U25" s="312"/>
      <c r="V25" s="468">
        <v>0</v>
      </c>
      <c r="W25" s="312"/>
      <c r="X25" s="312"/>
      <c r="Y25" s="312"/>
      <c r="Z25" s="468">
        <v>0</v>
      </c>
      <c r="AA25" s="312"/>
      <c r="AB25" s="312"/>
      <c r="AC25" s="312"/>
      <c r="AD25" s="468">
        <v>0</v>
      </c>
      <c r="AE25" s="312"/>
      <c r="AF25" s="312"/>
      <c r="AG25" s="312"/>
      <c r="AH25" s="468">
        <v>19.07</v>
      </c>
      <c r="AI25" s="312"/>
      <c r="AJ25" s="468">
        <v>24</v>
      </c>
      <c r="AK25" s="312"/>
      <c r="AL25" s="468">
        <v>28.32</v>
      </c>
      <c r="AM25" s="312"/>
      <c r="AN25" s="468">
        <v>41</v>
      </c>
      <c r="AO25" s="312"/>
      <c r="AP25" s="589">
        <f t="shared" si="12"/>
        <v>47.39</v>
      </c>
      <c r="AQ25" s="590"/>
      <c r="AR25" s="589">
        <f t="shared" si="23"/>
        <v>65</v>
      </c>
      <c r="AS25" s="312"/>
      <c r="AT25" s="468">
        <v>0</v>
      </c>
      <c r="AU25" s="312"/>
      <c r="AV25" s="312"/>
      <c r="AW25" s="312"/>
      <c r="AX25" s="468">
        <v>47.53</v>
      </c>
      <c r="AY25" s="312"/>
      <c r="AZ25" s="468">
        <v>10377</v>
      </c>
      <c r="BA25" s="312"/>
      <c r="BB25" s="589">
        <f t="shared" si="13"/>
        <v>47.53</v>
      </c>
      <c r="BC25" s="590"/>
      <c r="BD25" s="589">
        <f t="shared" si="24"/>
        <v>10377</v>
      </c>
      <c r="BE25" s="312"/>
      <c r="BF25" s="575">
        <v>8.3699999999999992</v>
      </c>
      <c r="BG25" s="576"/>
      <c r="BH25" s="575">
        <v>12</v>
      </c>
      <c r="BI25" s="312"/>
      <c r="BJ25" s="575">
        <v>9.56</v>
      </c>
      <c r="BK25" s="576"/>
      <c r="BL25" s="575">
        <v>18</v>
      </c>
      <c r="BM25" s="312"/>
      <c r="BN25" s="468">
        <f t="shared" si="14"/>
        <v>65.459999999999994</v>
      </c>
      <c r="BO25" s="312"/>
      <c r="BP25" s="468">
        <f t="shared" si="20"/>
        <v>10407</v>
      </c>
      <c r="BQ25" s="312"/>
      <c r="BR25" s="468">
        <v>0</v>
      </c>
      <c r="BS25" s="312"/>
      <c r="BT25" s="312"/>
      <c r="BU25" s="312"/>
      <c r="BV25" s="468">
        <v>1928.78</v>
      </c>
      <c r="BW25" s="312"/>
      <c r="BX25" s="468">
        <v>124</v>
      </c>
      <c r="BY25" s="312"/>
      <c r="BZ25" s="589">
        <f t="shared" si="15"/>
        <v>1928.78</v>
      </c>
      <c r="CA25" s="590"/>
      <c r="CB25" s="589">
        <f t="shared" si="25"/>
        <v>124</v>
      </c>
      <c r="CC25" s="312"/>
      <c r="CD25" s="468">
        <f t="shared" si="16"/>
        <v>2041.63</v>
      </c>
      <c r="CE25" s="312"/>
      <c r="CF25" s="468">
        <f t="shared" si="21"/>
        <v>10596</v>
      </c>
      <c r="CG25" s="312"/>
      <c r="CH25" s="575">
        <v>0</v>
      </c>
      <c r="CI25" s="576"/>
      <c r="CJ25" s="576"/>
      <c r="CK25" s="312"/>
      <c r="CL25" s="468">
        <v>0</v>
      </c>
      <c r="CM25" s="312"/>
      <c r="CN25" s="468">
        <v>0</v>
      </c>
      <c r="CO25" s="312"/>
      <c r="CP25" s="468">
        <f t="shared" si="17"/>
        <v>5755.24</v>
      </c>
      <c r="CQ25" s="312"/>
      <c r="CR25" s="468">
        <f t="shared" si="18"/>
        <v>13233</v>
      </c>
      <c r="CT25" s="526">
        <f t="shared" si="8"/>
        <v>2667</v>
      </c>
      <c r="CU25" s="523">
        <f t="shared" si="9"/>
        <v>10566</v>
      </c>
      <c r="CV25" s="340">
        <f t="shared" si="19"/>
        <v>13233</v>
      </c>
    </row>
    <row r="26" spans="5:100" x14ac:dyDescent="0.25">
      <c r="E26" s="485" t="s">
        <v>176</v>
      </c>
      <c r="F26" s="468">
        <v>289.31</v>
      </c>
      <c r="G26" s="312"/>
      <c r="H26" s="468">
        <v>326</v>
      </c>
      <c r="I26" s="312"/>
      <c r="J26" s="468">
        <v>1683.29</v>
      </c>
      <c r="K26" s="312"/>
      <c r="L26" s="468">
        <v>2011</v>
      </c>
      <c r="M26" s="312"/>
      <c r="N26" s="575">
        <f t="shared" si="11"/>
        <v>1972.6</v>
      </c>
      <c r="O26" s="576"/>
      <c r="P26" s="575">
        <f t="shared" si="22"/>
        <v>2337</v>
      </c>
      <c r="Q26" s="312"/>
      <c r="R26" s="575">
        <v>2696.52</v>
      </c>
      <c r="S26" s="576"/>
      <c r="T26" s="575">
        <v>2870</v>
      </c>
      <c r="U26" s="312"/>
      <c r="V26" s="468">
        <v>0</v>
      </c>
      <c r="W26" s="312"/>
      <c r="X26" s="312"/>
      <c r="Y26" s="312"/>
      <c r="Z26" s="468">
        <v>0</v>
      </c>
      <c r="AA26" s="312"/>
      <c r="AB26" s="312"/>
      <c r="AC26" s="312"/>
      <c r="AD26" s="468">
        <v>0</v>
      </c>
      <c r="AE26" s="312"/>
      <c r="AF26" s="312"/>
      <c r="AG26" s="312"/>
      <c r="AH26" s="468">
        <v>778.85</v>
      </c>
      <c r="AI26" s="312"/>
      <c r="AJ26" s="468">
        <v>815</v>
      </c>
      <c r="AK26" s="312"/>
      <c r="AL26" s="468">
        <v>1186.6600000000001</v>
      </c>
      <c r="AM26" s="312"/>
      <c r="AN26" s="468">
        <v>1468</v>
      </c>
      <c r="AO26" s="312"/>
      <c r="AP26" s="589">
        <f t="shared" si="12"/>
        <v>1965.51</v>
      </c>
      <c r="AQ26" s="590"/>
      <c r="AR26" s="589">
        <f t="shared" si="23"/>
        <v>2283</v>
      </c>
      <c r="AS26" s="312"/>
      <c r="AT26" s="468">
        <v>0</v>
      </c>
      <c r="AU26" s="312"/>
      <c r="AV26" s="312"/>
      <c r="AW26" s="312"/>
      <c r="AX26" s="468">
        <v>1678.46</v>
      </c>
      <c r="AY26" s="312"/>
      <c r="AZ26" s="468">
        <v>2345</v>
      </c>
      <c r="BA26" s="312"/>
      <c r="BB26" s="589">
        <f t="shared" si="13"/>
        <v>1678.46</v>
      </c>
      <c r="BC26" s="590"/>
      <c r="BD26" s="589">
        <f t="shared" si="24"/>
        <v>2345</v>
      </c>
      <c r="BE26" s="312"/>
      <c r="BF26" s="575">
        <v>153.43</v>
      </c>
      <c r="BG26" s="576"/>
      <c r="BH26" s="575">
        <v>274</v>
      </c>
      <c r="BI26" s="312"/>
      <c r="BJ26" s="575">
        <v>386.03</v>
      </c>
      <c r="BK26" s="576"/>
      <c r="BL26" s="575">
        <v>607</v>
      </c>
      <c r="BM26" s="312"/>
      <c r="BN26" s="468">
        <f t="shared" si="14"/>
        <v>2217.92</v>
      </c>
      <c r="BO26" s="312"/>
      <c r="BP26" s="468">
        <f t="shared" si="20"/>
        <v>3226</v>
      </c>
      <c r="BQ26" s="312"/>
      <c r="BR26" s="468">
        <v>0</v>
      </c>
      <c r="BS26" s="312"/>
      <c r="BT26" s="312"/>
      <c r="BU26" s="312"/>
      <c r="BV26" s="468">
        <v>2983.88</v>
      </c>
      <c r="BW26" s="312"/>
      <c r="BX26" s="468">
        <v>3918</v>
      </c>
      <c r="BY26" s="312"/>
      <c r="BZ26" s="589">
        <f t="shared" si="15"/>
        <v>2983.88</v>
      </c>
      <c r="CA26" s="590"/>
      <c r="CB26" s="589">
        <f t="shared" si="25"/>
        <v>3918</v>
      </c>
      <c r="CC26" s="312"/>
      <c r="CD26" s="468">
        <f t="shared" si="16"/>
        <v>7167.31</v>
      </c>
      <c r="CE26" s="312"/>
      <c r="CF26" s="468">
        <f t="shared" si="21"/>
        <v>9427</v>
      </c>
      <c r="CG26" s="312"/>
      <c r="CH26" s="575">
        <v>1919.31</v>
      </c>
      <c r="CI26" s="576"/>
      <c r="CJ26" s="576"/>
      <c r="CK26" s="312"/>
      <c r="CL26" s="468">
        <v>0</v>
      </c>
      <c r="CM26" s="312"/>
      <c r="CN26" s="468">
        <v>0</v>
      </c>
      <c r="CO26" s="312"/>
      <c r="CP26" s="468">
        <f t="shared" si="17"/>
        <v>13755.74</v>
      </c>
      <c r="CQ26" s="312"/>
      <c r="CR26" s="468">
        <f t="shared" si="18"/>
        <v>14634</v>
      </c>
      <c r="CT26" s="526">
        <f t="shared" si="8"/>
        <v>6088</v>
      </c>
      <c r="CU26" s="523">
        <f t="shared" si="9"/>
        <v>8546</v>
      </c>
      <c r="CV26" s="340">
        <f t="shared" si="19"/>
        <v>14634</v>
      </c>
    </row>
    <row r="27" spans="5:100" x14ac:dyDescent="0.25">
      <c r="E27" s="485" t="s">
        <v>177</v>
      </c>
      <c r="F27" s="468">
        <v>65.739999999999995</v>
      </c>
      <c r="G27" s="312"/>
      <c r="H27" s="468">
        <v>54</v>
      </c>
      <c r="I27" s="312"/>
      <c r="J27" s="468">
        <v>237.67</v>
      </c>
      <c r="K27" s="312"/>
      <c r="L27" s="468">
        <v>200</v>
      </c>
      <c r="M27" s="312"/>
      <c r="N27" s="575">
        <f t="shared" si="11"/>
        <v>303.41000000000003</v>
      </c>
      <c r="O27" s="576"/>
      <c r="P27" s="575">
        <f t="shared" si="22"/>
        <v>254</v>
      </c>
      <c r="Q27" s="312"/>
      <c r="R27" s="575">
        <v>635.30999999999995</v>
      </c>
      <c r="S27" s="576"/>
      <c r="T27" s="575">
        <v>581</v>
      </c>
      <c r="U27" s="312"/>
      <c r="V27" s="468">
        <v>0</v>
      </c>
      <c r="W27" s="312"/>
      <c r="X27" s="312"/>
      <c r="Y27" s="312"/>
      <c r="Z27" s="468">
        <v>0</v>
      </c>
      <c r="AA27" s="312"/>
      <c r="AB27" s="312"/>
      <c r="AC27" s="312"/>
      <c r="AD27" s="468">
        <v>0</v>
      </c>
      <c r="AE27" s="312"/>
      <c r="AF27" s="312"/>
      <c r="AG27" s="312"/>
      <c r="AH27" s="468">
        <v>159.56</v>
      </c>
      <c r="AI27" s="312"/>
      <c r="AJ27" s="468">
        <v>145</v>
      </c>
      <c r="AK27" s="312"/>
      <c r="AL27" s="468">
        <v>258.37</v>
      </c>
      <c r="AM27" s="312"/>
      <c r="AN27" s="468">
        <v>254</v>
      </c>
      <c r="AO27" s="312"/>
      <c r="AP27" s="589">
        <f t="shared" si="12"/>
        <v>417.93</v>
      </c>
      <c r="AQ27" s="590"/>
      <c r="AR27" s="589">
        <f t="shared" si="23"/>
        <v>399</v>
      </c>
      <c r="AS27" s="312"/>
      <c r="AT27" s="468">
        <v>0</v>
      </c>
      <c r="AU27" s="312"/>
      <c r="AV27" s="312"/>
      <c r="AW27" s="312"/>
      <c r="AX27" s="468">
        <v>424.79</v>
      </c>
      <c r="AY27" s="312"/>
      <c r="AZ27" s="468">
        <v>472</v>
      </c>
      <c r="BA27" s="312"/>
      <c r="BB27" s="589">
        <f t="shared" si="13"/>
        <v>424.79</v>
      </c>
      <c r="BC27" s="590"/>
      <c r="BD27" s="589">
        <f t="shared" si="24"/>
        <v>472</v>
      </c>
      <c r="BE27" s="312"/>
      <c r="BF27" s="575">
        <v>99.44</v>
      </c>
      <c r="BG27" s="576"/>
      <c r="BH27" s="575">
        <v>73</v>
      </c>
      <c r="BI27" s="312"/>
      <c r="BJ27" s="575">
        <v>82.03</v>
      </c>
      <c r="BK27" s="576"/>
      <c r="BL27" s="575">
        <v>109</v>
      </c>
      <c r="BM27" s="312"/>
      <c r="BN27" s="468">
        <f t="shared" si="14"/>
        <v>606.26</v>
      </c>
      <c r="BO27" s="312"/>
      <c r="BP27" s="468">
        <f t="shared" si="20"/>
        <v>654</v>
      </c>
      <c r="BQ27" s="312"/>
      <c r="BR27" s="468">
        <v>0</v>
      </c>
      <c r="BS27" s="312"/>
      <c r="BT27" s="312"/>
      <c r="BU27" s="312"/>
      <c r="BV27" s="468">
        <v>759.8</v>
      </c>
      <c r="BW27" s="312"/>
      <c r="BX27" s="468">
        <v>762</v>
      </c>
      <c r="BY27" s="312"/>
      <c r="BZ27" s="589">
        <f t="shared" si="15"/>
        <v>759.8</v>
      </c>
      <c r="CA27" s="590"/>
      <c r="CB27" s="589">
        <f t="shared" si="25"/>
        <v>762</v>
      </c>
      <c r="CC27" s="312"/>
      <c r="CD27" s="468">
        <f t="shared" si="16"/>
        <v>1783.99</v>
      </c>
      <c r="CE27" s="312"/>
      <c r="CF27" s="468">
        <f t="shared" si="21"/>
        <v>1815</v>
      </c>
      <c r="CG27" s="312"/>
      <c r="CH27" s="575">
        <v>0</v>
      </c>
      <c r="CI27" s="576"/>
      <c r="CJ27" s="576"/>
      <c r="CK27" s="312"/>
      <c r="CL27" s="468">
        <v>0</v>
      </c>
      <c r="CM27" s="312"/>
      <c r="CN27" s="468">
        <v>0</v>
      </c>
      <c r="CO27" s="312"/>
      <c r="CP27" s="468">
        <f t="shared" si="17"/>
        <v>2722.71</v>
      </c>
      <c r="CQ27" s="312"/>
      <c r="CR27" s="468">
        <f t="shared" si="18"/>
        <v>2650</v>
      </c>
      <c r="CT27" s="526">
        <f t="shared" si="8"/>
        <v>1017</v>
      </c>
      <c r="CU27" s="523">
        <f t="shared" si="9"/>
        <v>1633</v>
      </c>
      <c r="CV27" s="340">
        <f t="shared" si="19"/>
        <v>2650</v>
      </c>
    </row>
    <row r="28" spans="5:100" x14ac:dyDescent="0.25">
      <c r="E28" s="485" t="s">
        <v>406</v>
      </c>
      <c r="F28" s="468">
        <v>21.4</v>
      </c>
      <c r="G28" s="312"/>
      <c r="H28" s="468">
        <v>16</v>
      </c>
      <c r="I28" s="312"/>
      <c r="J28" s="468">
        <v>82.17</v>
      </c>
      <c r="K28" s="312"/>
      <c r="L28" s="468">
        <v>58</v>
      </c>
      <c r="M28" s="312"/>
      <c r="N28" s="575">
        <f t="shared" si="11"/>
        <v>103.57</v>
      </c>
      <c r="O28" s="576"/>
      <c r="P28" s="575">
        <f t="shared" si="22"/>
        <v>74</v>
      </c>
      <c r="Q28" s="312"/>
      <c r="R28" s="575">
        <v>3822.38</v>
      </c>
      <c r="S28" s="576"/>
      <c r="T28" s="575">
        <v>3768</v>
      </c>
      <c r="U28" s="312"/>
      <c r="V28" s="468">
        <v>0</v>
      </c>
      <c r="W28" s="312"/>
      <c r="X28" s="312"/>
      <c r="Y28" s="312"/>
      <c r="Z28" s="468">
        <v>0</v>
      </c>
      <c r="AA28" s="312"/>
      <c r="AB28" s="312"/>
      <c r="AC28" s="312"/>
      <c r="AD28" s="468">
        <v>0</v>
      </c>
      <c r="AE28" s="312"/>
      <c r="AF28" s="312"/>
      <c r="AG28" s="312"/>
      <c r="AH28" s="468">
        <v>44.27</v>
      </c>
      <c r="AI28" s="312"/>
      <c r="AJ28" s="468">
        <v>42</v>
      </c>
      <c r="AK28" s="312"/>
      <c r="AL28" s="468">
        <v>77.36</v>
      </c>
      <c r="AM28" s="312"/>
      <c r="AN28" s="468">
        <v>74</v>
      </c>
      <c r="AO28" s="312"/>
      <c r="AP28" s="589">
        <f t="shared" si="12"/>
        <v>121.63</v>
      </c>
      <c r="AQ28" s="590"/>
      <c r="AR28" s="589">
        <f t="shared" si="23"/>
        <v>116</v>
      </c>
      <c r="AS28" s="312"/>
      <c r="AT28" s="468">
        <v>0</v>
      </c>
      <c r="AU28" s="312"/>
      <c r="AV28" s="312"/>
      <c r="AW28" s="312"/>
      <c r="AX28" s="468">
        <v>108.37</v>
      </c>
      <c r="AY28" s="312"/>
      <c r="AZ28" s="468">
        <v>19437</v>
      </c>
      <c r="BA28" s="312"/>
      <c r="BB28" s="589">
        <f t="shared" si="13"/>
        <v>108.37</v>
      </c>
      <c r="BC28" s="590"/>
      <c r="BD28" s="589">
        <f t="shared" si="24"/>
        <v>19437</v>
      </c>
      <c r="BE28" s="312"/>
      <c r="BF28" s="575">
        <v>19.07</v>
      </c>
      <c r="BG28" s="576"/>
      <c r="BH28" s="575">
        <v>21</v>
      </c>
      <c r="BI28" s="312"/>
      <c r="BJ28" s="575">
        <v>23.28</v>
      </c>
      <c r="BK28" s="576"/>
      <c r="BL28" s="575">
        <v>32</v>
      </c>
      <c r="BM28" s="312"/>
      <c r="BN28" s="468">
        <f t="shared" si="14"/>
        <v>150.72</v>
      </c>
      <c r="BO28" s="312"/>
      <c r="BP28" s="468">
        <f t="shared" si="20"/>
        <v>19490</v>
      </c>
      <c r="BQ28" s="312"/>
      <c r="BR28" s="468">
        <v>0</v>
      </c>
      <c r="BS28" s="312"/>
      <c r="BT28" s="312"/>
      <c r="BU28" s="312"/>
      <c r="BV28" s="468">
        <v>260.42</v>
      </c>
      <c r="BW28" s="312"/>
      <c r="BX28" s="468">
        <v>221</v>
      </c>
      <c r="BY28" s="312"/>
      <c r="BZ28" s="589">
        <f t="shared" si="15"/>
        <v>260.42</v>
      </c>
      <c r="CA28" s="590"/>
      <c r="CB28" s="589">
        <f t="shared" si="25"/>
        <v>221</v>
      </c>
      <c r="CC28" s="312"/>
      <c r="CD28" s="468">
        <f t="shared" si="16"/>
        <v>532.77</v>
      </c>
      <c r="CE28" s="312"/>
      <c r="CF28" s="468">
        <f t="shared" si="21"/>
        <v>19827</v>
      </c>
      <c r="CG28" s="312"/>
      <c r="CH28" s="575">
        <v>0</v>
      </c>
      <c r="CI28" s="576"/>
      <c r="CJ28" s="576"/>
      <c r="CK28" s="312"/>
      <c r="CL28" s="468">
        <v>0</v>
      </c>
      <c r="CM28" s="312"/>
      <c r="CN28" s="468">
        <v>0</v>
      </c>
      <c r="CO28" s="312"/>
      <c r="CP28" s="468">
        <f t="shared" si="17"/>
        <v>4458.72</v>
      </c>
      <c r="CQ28" s="312"/>
      <c r="CR28" s="468">
        <f t="shared" si="18"/>
        <v>23669</v>
      </c>
      <c r="CT28" s="526">
        <f t="shared" si="8"/>
        <v>3895</v>
      </c>
      <c r="CU28" s="523">
        <f t="shared" si="9"/>
        <v>19774</v>
      </c>
      <c r="CV28" s="340">
        <f t="shared" si="19"/>
        <v>23669</v>
      </c>
    </row>
    <row r="29" spans="5:100" x14ac:dyDescent="0.25">
      <c r="E29" s="485" t="s">
        <v>407</v>
      </c>
      <c r="F29" s="468">
        <v>7831.91</v>
      </c>
      <c r="G29" s="312"/>
      <c r="H29" s="468">
        <v>15005</v>
      </c>
      <c r="I29" s="312"/>
      <c r="J29" s="468">
        <v>298.63</v>
      </c>
      <c r="K29" s="312"/>
      <c r="L29" s="468">
        <v>43</v>
      </c>
      <c r="M29" s="312"/>
      <c r="N29" s="575">
        <f t="shared" si="11"/>
        <v>8130.54</v>
      </c>
      <c r="O29" s="576"/>
      <c r="P29" s="575">
        <f t="shared" si="22"/>
        <v>15048</v>
      </c>
      <c r="Q29" s="312"/>
      <c r="R29" s="575">
        <v>1195.0899999999999</v>
      </c>
      <c r="S29" s="576"/>
      <c r="T29" s="575">
        <v>553</v>
      </c>
      <c r="U29" s="312"/>
      <c r="V29" s="468">
        <v>0</v>
      </c>
      <c r="W29" s="312"/>
      <c r="X29" s="312"/>
      <c r="Y29" s="312"/>
      <c r="Z29" s="468">
        <v>0</v>
      </c>
      <c r="AA29" s="312"/>
      <c r="AB29" s="312"/>
      <c r="AC29" s="312"/>
      <c r="AD29" s="468">
        <v>0</v>
      </c>
      <c r="AE29" s="312"/>
      <c r="AF29" s="312"/>
      <c r="AG29" s="312"/>
      <c r="AH29" s="468">
        <v>602.41</v>
      </c>
      <c r="AI29" s="312"/>
      <c r="AJ29" s="468">
        <v>13</v>
      </c>
      <c r="AK29" s="312"/>
      <c r="AL29" s="468">
        <v>946.91</v>
      </c>
      <c r="AM29" s="312"/>
      <c r="AN29" s="468">
        <v>18023</v>
      </c>
      <c r="AO29" s="312"/>
      <c r="AP29" s="589">
        <f t="shared" si="12"/>
        <v>1549.32</v>
      </c>
      <c r="AQ29" s="590"/>
      <c r="AR29" s="589">
        <f t="shared" si="23"/>
        <v>18036</v>
      </c>
      <c r="AS29" s="312"/>
      <c r="AT29" s="468">
        <v>0</v>
      </c>
      <c r="AU29" s="312"/>
      <c r="AV29" s="312"/>
      <c r="AW29" s="312"/>
      <c r="AX29" s="468">
        <v>1.44</v>
      </c>
      <c r="AY29" s="312"/>
      <c r="AZ29" s="468">
        <v>543</v>
      </c>
      <c r="BA29" s="312"/>
      <c r="BB29" s="589">
        <f t="shared" si="13"/>
        <v>1.44</v>
      </c>
      <c r="BC29" s="590"/>
      <c r="BD29" s="589">
        <f t="shared" si="24"/>
        <v>543</v>
      </c>
      <c r="BE29" s="312"/>
      <c r="BF29" s="575">
        <v>179.73</v>
      </c>
      <c r="BG29" s="576"/>
      <c r="BH29" s="575">
        <v>7</v>
      </c>
      <c r="BI29" s="312"/>
      <c r="BJ29" s="575">
        <v>501.47</v>
      </c>
      <c r="BK29" s="576"/>
      <c r="BL29" s="575">
        <v>510</v>
      </c>
      <c r="BM29" s="312"/>
      <c r="BN29" s="468">
        <f t="shared" si="14"/>
        <v>682.64</v>
      </c>
      <c r="BO29" s="312"/>
      <c r="BP29" s="468">
        <f t="shared" si="20"/>
        <v>1060</v>
      </c>
      <c r="BQ29" s="312"/>
      <c r="BR29" s="468">
        <v>0</v>
      </c>
      <c r="BS29" s="312"/>
      <c r="BT29" s="312"/>
      <c r="BU29" s="312"/>
      <c r="BV29" s="468">
        <v>1459.1</v>
      </c>
      <c r="BW29" s="312"/>
      <c r="BX29" s="468">
        <v>1569</v>
      </c>
      <c r="BY29" s="312"/>
      <c r="BZ29" s="589">
        <f t="shared" si="15"/>
        <v>1459.1</v>
      </c>
      <c r="CA29" s="590"/>
      <c r="CB29" s="589">
        <f t="shared" si="25"/>
        <v>1569</v>
      </c>
      <c r="CC29" s="312"/>
      <c r="CD29" s="468">
        <f t="shared" si="16"/>
        <v>3691.06</v>
      </c>
      <c r="CE29" s="312"/>
      <c r="CF29" s="468">
        <f t="shared" si="21"/>
        <v>20665</v>
      </c>
      <c r="CG29" s="312"/>
      <c r="CH29" s="575">
        <v>0</v>
      </c>
      <c r="CI29" s="576"/>
      <c r="CJ29" s="576"/>
      <c r="CK29" s="312"/>
      <c r="CL29" s="468">
        <v>0</v>
      </c>
      <c r="CM29" s="312"/>
      <c r="CN29" s="468">
        <v>0</v>
      </c>
      <c r="CO29" s="312"/>
      <c r="CP29" s="468">
        <f t="shared" si="17"/>
        <v>13016.69</v>
      </c>
      <c r="CQ29" s="312"/>
      <c r="CR29" s="468">
        <f t="shared" si="18"/>
        <v>36266</v>
      </c>
      <c r="CT29" s="526">
        <f t="shared" si="8"/>
        <v>16118</v>
      </c>
      <c r="CU29" s="523">
        <f t="shared" si="9"/>
        <v>20148</v>
      </c>
      <c r="CV29" s="340">
        <f t="shared" si="19"/>
        <v>36266</v>
      </c>
    </row>
    <row r="30" spans="5:100" x14ac:dyDescent="0.25">
      <c r="E30" s="485" t="s">
        <v>181</v>
      </c>
      <c r="F30" s="468">
        <v>1780.29</v>
      </c>
      <c r="G30" s="312"/>
      <c r="H30" s="468">
        <v>1683</v>
      </c>
      <c r="I30" s="312"/>
      <c r="J30" s="468">
        <v>402.59</v>
      </c>
      <c r="K30" s="312"/>
      <c r="L30" s="468">
        <v>200</v>
      </c>
      <c r="M30" s="312"/>
      <c r="N30" s="575">
        <f t="shared" si="11"/>
        <v>2182.88</v>
      </c>
      <c r="O30" s="576"/>
      <c r="P30" s="575">
        <f t="shared" si="22"/>
        <v>1883</v>
      </c>
      <c r="Q30" s="312"/>
      <c r="R30" s="575">
        <v>819.28</v>
      </c>
      <c r="S30" s="576"/>
      <c r="T30" s="575">
        <v>252</v>
      </c>
      <c r="U30" s="312"/>
      <c r="V30" s="468">
        <v>0</v>
      </c>
      <c r="W30" s="312"/>
      <c r="X30" s="312"/>
      <c r="Y30" s="312"/>
      <c r="Z30" s="468">
        <v>0</v>
      </c>
      <c r="AA30" s="312"/>
      <c r="AB30" s="312"/>
      <c r="AC30" s="312"/>
      <c r="AD30" s="468">
        <v>0</v>
      </c>
      <c r="AE30" s="312"/>
      <c r="AF30" s="312"/>
      <c r="AG30" s="312"/>
      <c r="AH30" s="468">
        <v>187.66</v>
      </c>
      <c r="AI30" s="312"/>
      <c r="AJ30" s="468">
        <v>17</v>
      </c>
      <c r="AK30" s="312"/>
      <c r="AL30" s="468">
        <v>360.25</v>
      </c>
      <c r="AM30" s="312"/>
      <c r="AN30" s="468">
        <v>205</v>
      </c>
      <c r="AO30" s="312"/>
      <c r="AP30" s="589">
        <f t="shared" si="12"/>
        <v>547.91</v>
      </c>
      <c r="AQ30" s="590"/>
      <c r="AR30" s="589">
        <f t="shared" si="23"/>
        <v>222</v>
      </c>
      <c r="AS30" s="312"/>
      <c r="AT30" s="468">
        <v>0</v>
      </c>
      <c r="AU30" s="312"/>
      <c r="AV30" s="312"/>
      <c r="AW30" s="312"/>
      <c r="AX30" s="468">
        <v>1409.27</v>
      </c>
      <c r="AY30" s="312"/>
      <c r="AZ30" s="468">
        <v>233</v>
      </c>
      <c r="BA30" s="312"/>
      <c r="BB30" s="589">
        <f t="shared" si="13"/>
        <v>1409.27</v>
      </c>
      <c r="BC30" s="590"/>
      <c r="BD30" s="589">
        <f t="shared" si="24"/>
        <v>233</v>
      </c>
      <c r="BE30" s="312"/>
      <c r="BF30" s="575">
        <v>242.21</v>
      </c>
      <c r="BG30" s="576"/>
      <c r="BH30" s="575">
        <v>292</v>
      </c>
      <c r="BI30" s="312"/>
      <c r="BJ30" s="575">
        <v>63.68</v>
      </c>
      <c r="BK30" s="576"/>
      <c r="BL30" s="575">
        <v>12</v>
      </c>
      <c r="BM30" s="312"/>
      <c r="BN30" s="468">
        <f t="shared" si="14"/>
        <v>1715.16</v>
      </c>
      <c r="BO30" s="312"/>
      <c r="BP30" s="468">
        <f t="shared" si="20"/>
        <v>537</v>
      </c>
      <c r="BQ30" s="312"/>
      <c r="BR30" s="468">
        <v>0</v>
      </c>
      <c r="BS30" s="312"/>
      <c r="BT30" s="312"/>
      <c r="BU30" s="312"/>
      <c r="BV30" s="468">
        <v>2390.2800000000002</v>
      </c>
      <c r="BW30" s="312"/>
      <c r="BX30" s="468">
        <v>3589</v>
      </c>
      <c r="BY30" s="312"/>
      <c r="BZ30" s="589">
        <f t="shared" si="15"/>
        <v>2390.2800000000002</v>
      </c>
      <c r="CA30" s="590"/>
      <c r="CB30" s="589">
        <f t="shared" si="25"/>
        <v>3589</v>
      </c>
      <c r="CC30" s="312"/>
      <c r="CD30" s="468">
        <f t="shared" si="16"/>
        <v>4653.3500000000004</v>
      </c>
      <c r="CE30" s="312"/>
      <c r="CF30" s="468">
        <f t="shared" si="21"/>
        <v>4348</v>
      </c>
      <c r="CG30" s="312"/>
      <c r="CH30" s="575">
        <v>0</v>
      </c>
      <c r="CI30" s="576"/>
      <c r="CJ30" s="576"/>
      <c r="CK30" s="312"/>
      <c r="CL30" s="468">
        <v>0</v>
      </c>
      <c r="CM30" s="312"/>
      <c r="CN30" s="468">
        <v>0</v>
      </c>
      <c r="CO30" s="312"/>
      <c r="CP30" s="468">
        <f t="shared" si="17"/>
        <v>7655.51</v>
      </c>
      <c r="CQ30" s="312"/>
      <c r="CR30" s="468">
        <f t="shared" si="18"/>
        <v>6483</v>
      </c>
      <c r="CT30" s="526">
        <f t="shared" si="8"/>
        <v>2439</v>
      </c>
      <c r="CU30" s="523">
        <f t="shared" si="9"/>
        <v>4044</v>
      </c>
      <c r="CV30" s="340">
        <f t="shared" si="19"/>
        <v>6483</v>
      </c>
    </row>
    <row r="31" spans="5:100" x14ac:dyDescent="0.25">
      <c r="E31" s="485" t="s">
        <v>182</v>
      </c>
      <c r="F31" s="468">
        <v>0</v>
      </c>
      <c r="G31" s="312"/>
      <c r="H31" s="468"/>
      <c r="I31" s="312"/>
      <c r="J31" s="468">
        <v>0</v>
      </c>
      <c r="K31" s="312"/>
      <c r="L31" s="468">
        <v>0</v>
      </c>
      <c r="M31" s="312"/>
      <c r="N31" s="575">
        <f t="shared" si="11"/>
        <v>0</v>
      </c>
      <c r="O31" s="576"/>
      <c r="P31" s="575">
        <f t="shared" si="22"/>
        <v>0</v>
      </c>
      <c r="Q31" s="312"/>
      <c r="R31" s="575">
        <v>0</v>
      </c>
      <c r="S31" s="576"/>
      <c r="T31" s="575"/>
      <c r="U31" s="312"/>
      <c r="V31" s="468">
        <v>0</v>
      </c>
      <c r="W31" s="312"/>
      <c r="X31" s="312"/>
      <c r="Y31" s="312"/>
      <c r="Z31" s="468">
        <v>0</v>
      </c>
      <c r="AA31" s="312"/>
      <c r="AB31" s="312"/>
      <c r="AC31" s="312"/>
      <c r="AD31" s="468">
        <v>0</v>
      </c>
      <c r="AE31" s="312"/>
      <c r="AF31" s="312"/>
      <c r="AG31" s="312"/>
      <c r="AH31" s="468">
        <v>0</v>
      </c>
      <c r="AI31" s="312"/>
      <c r="AJ31" s="468"/>
      <c r="AK31" s="312"/>
      <c r="AL31" s="468">
        <v>0</v>
      </c>
      <c r="AM31" s="312"/>
      <c r="AN31" s="468"/>
      <c r="AO31" s="312"/>
      <c r="AP31" s="589">
        <f t="shared" si="12"/>
        <v>0</v>
      </c>
      <c r="AQ31" s="590"/>
      <c r="AR31" s="589"/>
      <c r="AS31" s="312"/>
      <c r="AT31" s="468">
        <v>0</v>
      </c>
      <c r="AU31" s="312"/>
      <c r="AV31" s="312"/>
      <c r="AW31" s="312"/>
      <c r="AX31" s="468">
        <v>0</v>
      </c>
      <c r="AY31" s="312"/>
      <c r="AZ31" s="468"/>
      <c r="BA31" s="312"/>
      <c r="BB31" s="589">
        <f t="shared" si="13"/>
        <v>0</v>
      </c>
      <c r="BC31" s="590"/>
      <c r="BD31" s="589"/>
      <c r="BE31" s="312"/>
      <c r="BF31" s="575">
        <v>0</v>
      </c>
      <c r="BG31" s="576"/>
      <c r="BH31" s="575"/>
      <c r="BI31" s="312"/>
      <c r="BJ31" s="575">
        <v>0</v>
      </c>
      <c r="BK31" s="576"/>
      <c r="BL31" s="575"/>
      <c r="BM31" s="312"/>
      <c r="BN31" s="468">
        <f t="shared" si="14"/>
        <v>0</v>
      </c>
      <c r="BO31" s="312"/>
      <c r="BP31" s="468"/>
      <c r="BQ31" s="312"/>
      <c r="BR31" s="468">
        <v>0</v>
      </c>
      <c r="BS31" s="312"/>
      <c r="BT31" s="312"/>
      <c r="BU31" s="312"/>
      <c r="BV31" s="468">
        <v>0</v>
      </c>
      <c r="BW31" s="312"/>
      <c r="BX31" s="468"/>
      <c r="BY31" s="312"/>
      <c r="BZ31" s="589">
        <f t="shared" si="15"/>
        <v>0</v>
      </c>
      <c r="CA31" s="590"/>
      <c r="CB31" s="589"/>
      <c r="CC31" s="312"/>
      <c r="CD31" s="468">
        <f t="shared" si="16"/>
        <v>0</v>
      </c>
      <c r="CE31" s="312"/>
      <c r="CF31" s="468"/>
      <c r="CG31" s="312"/>
      <c r="CH31" s="575">
        <v>0</v>
      </c>
      <c r="CI31" s="576"/>
      <c r="CJ31" s="576"/>
      <c r="CK31" s="312"/>
      <c r="CL31" s="468">
        <v>0</v>
      </c>
      <c r="CM31" s="312"/>
      <c r="CN31" s="468">
        <v>0</v>
      </c>
      <c r="CO31" s="312"/>
      <c r="CP31" s="468">
        <f t="shared" si="17"/>
        <v>0</v>
      </c>
      <c r="CQ31" s="312"/>
      <c r="CR31" s="468">
        <f t="shared" si="18"/>
        <v>0</v>
      </c>
      <c r="CT31" s="526">
        <f t="shared" si="8"/>
        <v>0</v>
      </c>
      <c r="CU31" s="523">
        <f t="shared" si="9"/>
        <v>0</v>
      </c>
      <c r="CV31" s="340">
        <f t="shared" si="19"/>
        <v>0</v>
      </c>
    </row>
    <row r="32" spans="5:100" x14ac:dyDescent="0.25">
      <c r="E32" s="485" t="s">
        <v>183</v>
      </c>
      <c r="F32" s="468">
        <v>103.09</v>
      </c>
      <c r="G32" s="312"/>
      <c r="H32" s="468">
        <v>149</v>
      </c>
      <c r="I32" s="312"/>
      <c r="J32" s="468">
        <v>440.68</v>
      </c>
      <c r="K32" s="312"/>
      <c r="L32" s="468">
        <v>548</v>
      </c>
      <c r="M32" s="312"/>
      <c r="N32" s="575">
        <f t="shared" si="11"/>
        <v>543.77</v>
      </c>
      <c r="O32" s="576"/>
      <c r="P32" s="575">
        <f t="shared" si="22"/>
        <v>697</v>
      </c>
      <c r="Q32" s="312"/>
      <c r="R32" s="575">
        <v>7954.87</v>
      </c>
      <c r="S32" s="576"/>
      <c r="T32" s="575">
        <v>1594</v>
      </c>
      <c r="U32" s="312"/>
      <c r="V32" s="468">
        <v>0</v>
      </c>
      <c r="W32" s="312"/>
      <c r="X32" s="312"/>
      <c r="Y32" s="312"/>
      <c r="Z32" s="468">
        <v>0</v>
      </c>
      <c r="AA32" s="312"/>
      <c r="AB32" s="312"/>
      <c r="AC32" s="312"/>
      <c r="AD32" s="468">
        <v>0</v>
      </c>
      <c r="AE32" s="312"/>
      <c r="AF32" s="312"/>
      <c r="AG32" s="312"/>
      <c r="AH32" s="468">
        <v>103.51</v>
      </c>
      <c r="AI32" s="312"/>
      <c r="AJ32" s="468">
        <v>398</v>
      </c>
      <c r="AK32" s="312"/>
      <c r="AL32" s="468">
        <v>531.95000000000005</v>
      </c>
      <c r="AM32" s="312"/>
      <c r="AN32" s="468">
        <v>9697</v>
      </c>
      <c r="AO32" s="312"/>
      <c r="AP32" s="589">
        <f t="shared" si="12"/>
        <v>635.46</v>
      </c>
      <c r="AQ32" s="590"/>
      <c r="AR32" s="589">
        <f>ROUND(X32+AB32+AF32+AJ32+AN32,5)</f>
        <v>10095</v>
      </c>
      <c r="AS32" s="312"/>
      <c r="AT32" s="468">
        <v>0</v>
      </c>
      <c r="AU32" s="312"/>
      <c r="AV32" s="312"/>
      <c r="AW32" s="312"/>
      <c r="AX32" s="468">
        <v>867.23</v>
      </c>
      <c r="AY32" s="312"/>
      <c r="AZ32" s="468">
        <v>1295</v>
      </c>
      <c r="BA32" s="312"/>
      <c r="BB32" s="589">
        <f t="shared" si="13"/>
        <v>867.23</v>
      </c>
      <c r="BC32" s="590"/>
      <c r="BD32" s="589">
        <f>ROUND(AV32+AZ32,5)</f>
        <v>1295</v>
      </c>
      <c r="BE32" s="312"/>
      <c r="BF32" s="575">
        <v>97.75</v>
      </c>
      <c r="BG32" s="576"/>
      <c r="BH32" s="575">
        <v>199</v>
      </c>
      <c r="BI32" s="312"/>
      <c r="BJ32" s="575">
        <v>165.32</v>
      </c>
      <c r="BK32" s="576"/>
      <c r="BL32" s="575">
        <v>299</v>
      </c>
      <c r="BM32" s="312"/>
      <c r="BN32" s="468">
        <f t="shared" si="14"/>
        <v>1130.3</v>
      </c>
      <c r="BO32" s="312"/>
      <c r="BP32" s="468">
        <f>ROUND(BD32+BH32+BL32,5)</f>
        <v>1793</v>
      </c>
      <c r="BQ32" s="312"/>
      <c r="BR32" s="468">
        <v>0</v>
      </c>
      <c r="BS32" s="312"/>
      <c r="BT32" s="312"/>
      <c r="BU32" s="312"/>
      <c r="BV32" s="468">
        <v>1305.44</v>
      </c>
      <c r="BW32" s="312"/>
      <c r="BX32" s="468">
        <v>8232</v>
      </c>
      <c r="BY32" s="312"/>
      <c r="BZ32" s="589">
        <f t="shared" si="15"/>
        <v>1305.44</v>
      </c>
      <c r="CA32" s="590"/>
      <c r="CB32" s="589">
        <f t="shared" ref="CB32:CB37" si="26">ROUND(BT32+BX32,5)</f>
        <v>8232</v>
      </c>
      <c r="CC32" s="312"/>
      <c r="CD32" s="468">
        <f t="shared" si="16"/>
        <v>3071.2</v>
      </c>
      <c r="CE32" s="312"/>
      <c r="CF32" s="468">
        <f t="shared" ref="CF32:CF37" si="27">ROUND(AR32+BP32+CB32,5)</f>
        <v>20120</v>
      </c>
      <c r="CG32" s="312"/>
      <c r="CH32" s="575">
        <v>0</v>
      </c>
      <c r="CI32" s="576"/>
      <c r="CJ32" s="576"/>
      <c r="CK32" s="312"/>
      <c r="CL32" s="468">
        <v>0</v>
      </c>
      <c r="CM32" s="312"/>
      <c r="CN32" s="468">
        <v>0</v>
      </c>
      <c r="CO32" s="312"/>
      <c r="CP32" s="468">
        <f t="shared" si="17"/>
        <v>11569.84</v>
      </c>
      <c r="CQ32" s="312"/>
      <c r="CR32" s="468">
        <f t="shared" si="18"/>
        <v>22411</v>
      </c>
      <c r="CT32" s="526">
        <f t="shared" si="8"/>
        <v>2789</v>
      </c>
      <c r="CU32" s="523">
        <f t="shared" si="9"/>
        <v>19622</v>
      </c>
      <c r="CV32" s="340">
        <f t="shared" si="19"/>
        <v>22411</v>
      </c>
    </row>
    <row r="33" spans="1:101" x14ac:dyDescent="0.25">
      <c r="E33" s="485" t="s">
        <v>184</v>
      </c>
      <c r="F33" s="468">
        <v>1669.11</v>
      </c>
      <c r="G33" s="312"/>
      <c r="H33" s="468">
        <v>229</v>
      </c>
      <c r="I33" s="312"/>
      <c r="J33" s="468">
        <v>16851.45</v>
      </c>
      <c r="K33" s="312"/>
      <c r="L33" s="468">
        <v>840</v>
      </c>
      <c r="M33" s="312"/>
      <c r="N33" s="575">
        <f t="shared" si="11"/>
        <v>18520.560000000001</v>
      </c>
      <c r="O33" s="576"/>
      <c r="P33" s="575">
        <f t="shared" si="22"/>
        <v>1069</v>
      </c>
      <c r="Q33" s="312"/>
      <c r="R33" s="575">
        <v>7542.31</v>
      </c>
      <c r="S33" s="576"/>
      <c r="T33" s="575">
        <v>27443</v>
      </c>
      <c r="U33" s="312"/>
      <c r="V33" s="468">
        <v>0</v>
      </c>
      <c r="W33" s="312"/>
      <c r="X33" s="312"/>
      <c r="Y33" s="312"/>
      <c r="Z33" s="468">
        <v>0</v>
      </c>
      <c r="AA33" s="312"/>
      <c r="AB33" s="312"/>
      <c r="AC33" s="312"/>
      <c r="AD33" s="468">
        <v>0</v>
      </c>
      <c r="AE33" s="312"/>
      <c r="AF33" s="312"/>
      <c r="AG33" s="312"/>
      <c r="AH33" s="468">
        <v>33161.089999999997</v>
      </c>
      <c r="AI33" s="312"/>
      <c r="AJ33" s="468">
        <v>611</v>
      </c>
      <c r="AK33" s="312"/>
      <c r="AL33" s="468">
        <v>5149.8599999999997</v>
      </c>
      <c r="AM33" s="312"/>
      <c r="AN33" s="468">
        <v>41569</v>
      </c>
      <c r="AO33" s="312"/>
      <c r="AP33" s="589">
        <f t="shared" si="12"/>
        <v>38310.949999999997</v>
      </c>
      <c r="AQ33" s="590"/>
      <c r="AR33" s="589">
        <f>ROUND(X33+AB33+AF33+AJ33+AN33,5)</f>
        <v>42180</v>
      </c>
      <c r="AS33" s="312"/>
      <c r="AT33" s="468">
        <v>0</v>
      </c>
      <c r="AU33" s="312"/>
      <c r="AV33" s="312"/>
      <c r="AW33" s="312"/>
      <c r="AX33" s="468">
        <v>5081.67</v>
      </c>
      <c r="AY33" s="312"/>
      <c r="AZ33" s="468">
        <v>30610</v>
      </c>
      <c r="BA33" s="312"/>
      <c r="BB33" s="589">
        <f t="shared" si="13"/>
        <v>5081.67</v>
      </c>
      <c r="BC33" s="590"/>
      <c r="BD33" s="589">
        <f>ROUND(AV33+AZ33,5)</f>
        <v>30610</v>
      </c>
      <c r="BE33" s="312"/>
      <c r="BF33" s="575">
        <v>919.22</v>
      </c>
      <c r="BG33" s="576"/>
      <c r="BH33" s="575">
        <v>305</v>
      </c>
      <c r="BI33" s="312"/>
      <c r="BJ33" s="575">
        <v>240.05</v>
      </c>
      <c r="BK33" s="576"/>
      <c r="BL33" s="575">
        <v>458</v>
      </c>
      <c r="BM33" s="312"/>
      <c r="BN33" s="468">
        <f t="shared" si="14"/>
        <v>6240.94</v>
      </c>
      <c r="BO33" s="312"/>
      <c r="BP33" s="468">
        <f>ROUND(BD33+BH33+BL33,5)</f>
        <v>31373</v>
      </c>
      <c r="BQ33" s="312"/>
      <c r="BR33" s="468">
        <v>0</v>
      </c>
      <c r="BS33" s="312"/>
      <c r="BT33" s="312"/>
      <c r="BU33" s="312"/>
      <c r="BV33" s="468">
        <v>13501.5</v>
      </c>
      <c r="BW33" s="312"/>
      <c r="BX33" s="468">
        <v>55706</v>
      </c>
      <c r="BY33" s="312"/>
      <c r="BZ33" s="589">
        <f t="shared" si="15"/>
        <v>13501.5</v>
      </c>
      <c r="CA33" s="590"/>
      <c r="CB33" s="589">
        <f t="shared" si="26"/>
        <v>55706</v>
      </c>
      <c r="CC33" s="312"/>
      <c r="CD33" s="468">
        <f t="shared" si="16"/>
        <v>58053.39</v>
      </c>
      <c r="CE33" s="312"/>
      <c r="CF33" s="468">
        <f t="shared" si="27"/>
        <v>129259</v>
      </c>
      <c r="CG33" s="312"/>
      <c r="CH33" s="575">
        <v>0</v>
      </c>
      <c r="CI33" s="576"/>
      <c r="CJ33" s="576"/>
      <c r="CK33" s="312"/>
      <c r="CL33" s="468">
        <v>0</v>
      </c>
      <c r="CM33" s="312"/>
      <c r="CN33" s="468">
        <v>0</v>
      </c>
      <c r="CO33" s="312"/>
      <c r="CP33" s="468">
        <f t="shared" si="17"/>
        <v>84116.26</v>
      </c>
      <c r="CQ33" s="312"/>
      <c r="CR33" s="468">
        <f t="shared" si="18"/>
        <v>157771</v>
      </c>
      <c r="CT33" s="526">
        <f t="shared" si="8"/>
        <v>29275</v>
      </c>
      <c r="CU33" s="523">
        <f t="shared" si="9"/>
        <v>128496</v>
      </c>
      <c r="CV33" s="340">
        <f t="shared" si="19"/>
        <v>157771</v>
      </c>
    </row>
    <row r="34" spans="1:101" ht="15.75" thickBot="1" x14ac:dyDescent="0.3">
      <c r="E34" s="485" t="s">
        <v>413</v>
      </c>
      <c r="F34" s="467">
        <v>0</v>
      </c>
      <c r="G34" s="312"/>
      <c r="H34" s="467"/>
      <c r="I34" s="312"/>
      <c r="J34" s="467">
        <v>0</v>
      </c>
      <c r="K34" s="312"/>
      <c r="L34" s="467"/>
      <c r="M34" s="312"/>
      <c r="N34" s="578">
        <f t="shared" si="11"/>
        <v>0</v>
      </c>
      <c r="O34" s="576"/>
      <c r="P34" s="578"/>
      <c r="Q34" s="312"/>
      <c r="R34" s="578">
        <v>0</v>
      </c>
      <c r="S34" s="576"/>
      <c r="T34" s="578"/>
      <c r="U34" s="312"/>
      <c r="V34" s="467">
        <v>0</v>
      </c>
      <c r="W34" s="312"/>
      <c r="X34" s="312"/>
      <c r="Y34" s="312"/>
      <c r="Z34" s="467">
        <v>0</v>
      </c>
      <c r="AA34" s="312"/>
      <c r="AB34" s="312"/>
      <c r="AC34" s="312"/>
      <c r="AD34" s="467">
        <v>0</v>
      </c>
      <c r="AE34" s="312"/>
      <c r="AF34" s="312"/>
      <c r="AG34" s="312"/>
      <c r="AH34" s="467">
        <v>0</v>
      </c>
      <c r="AI34" s="312"/>
      <c r="AJ34" s="467"/>
      <c r="AK34" s="312"/>
      <c r="AL34" s="467">
        <v>0</v>
      </c>
      <c r="AM34" s="312"/>
      <c r="AN34" s="467"/>
      <c r="AO34" s="312"/>
      <c r="AP34" s="592">
        <f t="shared" si="12"/>
        <v>0</v>
      </c>
      <c r="AQ34" s="590"/>
      <c r="AR34" s="592"/>
      <c r="AS34" s="312"/>
      <c r="AT34" s="467">
        <v>0</v>
      </c>
      <c r="AU34" s="312"/>
      <c r="AV34" s="312"/>
      <c r="AW34" s="312"/>
      <c r="AX34" s="467">
        <v>0</v>
      </c>
      <c r="AY34" s="312"/>
      <c r="AZ34" s="467"/>
      <c r="BA34" s="312"/>
      <c r="BB34" s="592">
        <f t="shared" si="13"/>
        <v>0</v>
      </c>
      <c r="BC34" s="590"/>
      <c r="BD34" s="592"/>
      <c r="BE34" s="312"/>
      <c r="BF34" s="578">
        <v>0</v>
      </c>
      <c r="BG34" s="576"/>
      <c r="BH34" s="578"/>
      <c r="BI34" s="312"/>
      <c r="BJ34" s="578">
        <v>0</v>
      </c>
      <c r="BK34" s="576"/>
      <c r="BL34" s="578"/>
      <c r="BM34" s="312"/>
      <c r="BN34" s="467">
        <f t="shared" si="14"/>
        <v>0</v>
      </c>
      <c r="BO34" s="312"/>
      <c r="BP34" s="467"/>
      <c r="BQ34" s="312"/>
      <c r="BR34" s="467">
        <v>0</v>
      </c>
      <c r="BS34" s="312"/>
      <c r="BT34" s="312"/>
      <c r="BU34" s="312"/>
      <c r="BV34" s="467">
        <v>0</v>
      </c>
      <c r="BW34" s="312"/>
      <c r="BX34" s="467">
        <v>1500</v>
      </c>
      <c r="BY34" s="312"/>
      <c r="BZ34" s="592">
        <f t="shared" si="15"/>
        <v>0</v>
      </c>
      <c r="CA34" s="590"/>
      <c r="CB34" s="592">
        <f t="shared" si="26"/>
        <v>1500</v>
      </c>
      <c r="CC34" s="312"/>
      <c r="CD34" s="467">
        <f t="shared" si="16"/>
        <v>0</v>
      </c>
      <c r="CE34" s="312"/>
      <c r="CF34" s="467">
        <f t="shared" si="27"/>
        <v>1500</v>
      </c>
      <c r="CG34" s="312"/>
      <c r="CH34" s="578">
        <v>0</v>
      </c>
      <c r="CI34" s="576"/>
      <c r="CJ34" s="576"/>
      <c r="CK34" s="312"/>
      <c r="CL34" s="467">
        <v>0</v>
      </c>
      <c r="CM34" s="312"/>
      <c r="CN34" s="467">
        <v>0</v>
      </c>
      <c r="CO34" s="312"/>
      <c r="CP34" s="467">
        <f t="shared" si="17"/>
        <v>0</v>
      </c>
      <c r="CQ34" s="312"/>
      <c r="CR34" s="467">
        <f t="shared" si="18"/>
        <v>1500</v>
      </c>
      <c r="CT34" s="526">
        <f t="shared" si="8"/>
        <v>0</v>
      </c>
      <c r="CU34" s="523">
        <f t="shared" si="9"/>
        <v>1500</v>
      </c>
      <c r="CV34" s="340">
        <f t="shared" si="19"/>
        <v>1500</v>
      </c>
    </row>
    <row r="35" spans="1:101" ht="15.75" thickBot="1" x14ac:dyDescent="0.3">
      <c r="D35" s="485" t="s">
        <v>73</v>
      </c>
      <c r="F35" s="315">
        <f>ROUND(SUM(F16:F34),5)</f>
        <v>17252.79</v>
      </c>
      <c r="G35" s="312"/>
      <c r="H35" s="315">
        <f>ROUND(SUM(H16:H34),5)</f>
        <v>25590</v>
      </c>
      <c r="I35" s="312"/>
      <c r="J35" s="315">
        <f>ROUND(SUM(J16:J34),5)</f>
        <v>48277.01</v>
      </c>
      <c r="K35" s="312"/>
      <c r="L35" s="315">
        <f>ROUND(SUM(L16:L34),5)</f>
        <v>48349</v>
      </c>
      <c r="M35" s="312"/>
      <c r="N35" s="580">
        <f t="shared" si="11"/>
        <v>65529.8</v>
      </c>
      <c r="O35" s="576"/>
      <c r="P35" s="580">
        <f>ROUND(H35+L35,5)</f>
        <v>73939</v>
      </c>
      <c r="Q35" s="312"/>
      <c r="R35" s="580">
        <f>ROUND(SUM(R16:R34),5)</f>
        <v>85453.07</v>
      </c>
      <c r="S35" s="576"/>
      <c r="T35" s="580">
        <f>ROUND(SUM(T16:T34),5)</f>
        <v>118958</v>
      </c>
      <c r="U35" s="312"/>
      <c r="V35" s="315">
        <f>ROUND(SUM(V16:V34),5)</f>
        <v>0</v>
      </c>
      <c r="W35" s="312"/>
      <c r="X35" s="312"/>
      <c r="Y35" s="312"/>
      <c r="Z35" s="315">
        <f>ROUND(SUM(Z16:Z34),5)</f>
        <v>0</v>
      </c>
      <c r="AA35" s="312"/>
      <c r="AB35" s="312"/>
      <c r="AC35" s="312"/>
      <c r="AD35" s="315">
        <f>ROUND(SUM(AD16:AD34),5)</f>
        <v>0</v>
      </c>
      <c r="AE35" s="312"/>
      <c r="AF35" s="312"/>
      <c r="AG35" s="312"/>
      <c r="AH35" s="315">
        <f>ROUND(SUM(AH16:AH34),5)</f>
        <v>48339.199999999997</v>
      </c>
      <c r="AI35" s="312"/>
      <c r="AJ35" s="315">
        <f>ROUND(SUM(AJ16:AJ34),5)</f>
        <v>15582</v>
      </c>
      <c r="AK35" s="312"/>
      <c r="AL35" s="315">
        <f>ROUND(SUM(AL16:AL34),5)</f>
        <v>25040.92</v>
      </c>
      <c r="AM35" s="312"/>
      <c r="AN35" s="315">
        <f>ROUND(SUM(AN16:AN34),5)</f>
        <v>111086</v>
      </c>
      <c r="AO35" s="312"/>
      <c r="AP35" s="594">
        <f t="shared" si="12"/>
        <v>73380.12</v>
      </c>
      <c r="AQ35" s="590"/>
      <c r="AR35" s="594">
        <f>ROUND(X35+AB35+AF35+AJ35+AN35,5)</f>
        <v>126668</v>
      </c>
      <c r="AS35" s="312"/>
      <c r="AT35" s="315">
        <f>ROUND(SUM(AT16:AT34),5)</f>
        <v>0</v>
      </c>
      <c r="AU35" s="312"/>
      <c r="AV35" s="312"/>
      <c r="AW35" s="312"/>
      <c r="AX35" s="315">
        <f>ROUND(SUM(AX16:AX34),5)</f>
        <v>43432.59</v>
      </c>
      <c r="AY35" s="312"/>
      <c r="AZ35" s="315">
        <f>ROUND(SUM(AZ16:AZ34),5)</f>
        <v>112102</v>
      </c>
      <c r="BA35" s="312"/>
      <c r="BB35" s="594">
        <f t="shared" si="13"/>
        <v>43432.59</v>
      </c>
      <c r="BC35" s="590"/>
      <c r="BD35" s="594">
        <f>ROUND(AV35+AZ35,5)</f>
        <v>112102</v>
      </c>
      <c r="BE35" s="312"/>
      <c r="BF35" s="580">
        <f>ROUND(SUM(BF16:BF34),5)</f>
        <v>11479.91</v>
      </c>
      <c r="BG35" s="576"/>
      <c r="BH35" s="580">
        <f>ROUND(SUM(BH16:BH34),5)</f>
        <v>12589</v>
      </c>
      <c r="BI35" s="312"/>
      <c r="BJ35" s="580">
        <f>ROUND(SUM(BJ16:BJ34),5)</f>
        <v>9509.64</v>
      </c>
      <c r="BK35" s="576"/>
      <c r="BL35" s="580">
        <f>ROUND(SUM(BL16:BL34),5)</f>
        <v>14011</v>
      </c>
      <c r="BM35" s="312"/>
      <c r="BN35" s="315">
        <f t="shared" si="14"/>
        <v>64422.14</v>
      </c>
      <c r="BO35" s="312"/>
      <c r="BP35" s="315">
        <f>ROUND(BD35+BH35+BL35,5)</f>
        <v>138702</v>
      </c>
      <c r="BQ35" s="312"/>
      <c r="BR35" s="315">
        <f>ROUND(SUM(BR16:BR34),5)</f>
        <v>0</v>
      </c>
      <c r="BS35" s="312"/>
      <c r="BT35" s="312"/>
      <c r="BU35" s="312"/>
      <c r="BV35" s="315">
        <f>ROUND(SUM(BV16:BV34),5)</f>
        <v>84633.09</v>
      </c>
      <c r="BW35" s="312"/>
      <c r="BX35" s="315">
        <f>ROUND(SUM(BX16:BX34),5)</f>
        <v>161469</v>
      </c>
      <c r="BY35" s="312"/>
      <c r="BZ35" s="594">
        <f t="shared" si="15"/>
        <v>84633.09</v>
      </c>
      <c r="CA35" s="590"/>
      <c r="CB35" s="594">
        <f t="shared" si="26"/>
        <v>161469</v>
      </c>
      <c r="CC35" s="312"/>
      <c r="CD35" s="315">
        <f t="shared" si="16"/>
        <v>222435.35</v>
      </c>
      <c r="CE35" s="312"/>
      <c r="CF35" s="315">
        <f t="shared" si="27"/>
        <v>426839</v>
      </c>
      <c r="CG35" s="312"/>
      <c r="CH35" s="580">
        <f>ROUND(SUM(CH16:CH34),5)</f>
        <v>37421.33</v>
      </c>
      <c r="CI35" s="576"/>
      <c r="CJ35" s="576"/>
      <c r="CK35" s="312"/>
      <c r="CL35" s="315">
        <f>ROUND(SUM(CL16:CL34),5)</f>
        <v>0</v>
      </c>
      <c r="CM35" s="312"/>
      <c r="CN35" s="315">
        <f>ROUND(SUM(CN16:CN34),5)</f>
        <v>0</v>
      </c>
      <c r="CO35" s="312"/>
      <c r="CP35" s="315">
        <f t="shared" si="17"/>
        <v>410839.55</v>
      </c>
      <c r="CQ35" s="312"/>
      <c r="CR35" s="315">
        <f t="shared" si="18"/>
        <v>619736</v>
      </c>
      <c r="CT35" s="526">
        <f t="shared" si="8"/>
        <v>219497</v>
      </c>
      <c r="CU35" s="523">
        <f t="shared" si="9"/>
        <v>400239</v>
      </c>
      <c r="CV35" s="340">
        <f t="shared" si="19"/>
        <v>619736</v>
      </c>
    </row>
    <row r="36" spans="1:101" ht="15.75" thickBot="1" x14ac:dyDescent="0.3">
      <c r="B36" s="485" t="s">
        <v>186</v>
      </c>
      <c r="F36" s="315">
        <f>ROUND(F4+F15-F35,5)</f>
        <v>-16895.75</v>
      </c>
      <c r="G36" s="312"/>
      <c r="H36" s="315">
        <f>ROUND(H4+H15-H35,5)</f>
        <v>-25040</v>
      </c>
      <c r="I36" s="312"/>
      <c r="J36" s="315">
        <f>ROUND(J4+J15-J35,5)</f>
        <v>-33958.46</v>
      </c>
      <c r="K36" s="312"/>
      <c r="L36" s="315">
        <f>ROUND(L4+L15-L35,5)</f>
        <v>-32479</v>
      </c>
      <c r="M36" s="312"/>
      <c r="N36" s="580">
        <f t="shared" si="11"/>
        <v>-50854.21</v>
      </c>
      <c r="O36" s="576"/>
      <c r="P36" s="580">
        <f>ROUND(H36+L36,5)</f>
        <v>-57519</v>
      </c>
      <c r="Q36" s="312"/>
      <c r="R36" s="580">
        <f>ROUND(R4+R15-R35,5)</f>
        <v>81811.03</v>
      </c>
      <c r="S36" s="576"/>
      <c r="T36" s="580">
        <f>ROUND(T4+T15-T35,5)</f>
        <v>36042</v>
      </c>
      <c r="U36" s="312"/>
      <c r="V36" s="315">
        <f>ROUND(V4+V15-V35,5)</f>
        <v>0</v>
      </c>
      <c r="W36" s="312"/>
      <c r="X36" s="312"/>
      <c r="Y36" s="312"/>
      <c r="Z36" s="315">
        <f>ROUND(Z4+Z15-Z35,5)</f>
        <v>991.49</v>
      </c>
      <c r="AA36" s="312"/>
      <c r="AB36" s="312"/>
      <c r="AC36" s="312"/>
      <c r="AD36" s="315">
        <f>ROUND(AD4+AD15-AD35,5)</f>
        <v>3000</v>
      </c>
      <c r="AE36" s="312"/>
      <c r="AF36" s="312"/>
      <c r="AG36" s="312"/>
      <c r="AH36" s="315">
        <f>ROUND(AH4+AH15-AH35,5)</f>
        <v>26660.799999999999</v>
      </c>
      <c r="AI36" s="312"/>
      <c r="AJ36" s="315">
        <f>ROUND(AJ4+AJ15-AJ35,5)</f>
        <v>-15582</v>
      </c>
      <c r="AK36" s="312"/>
      <c r="AL36" s="315">
        <f>ROUND(AL4+AL15-AL35,5)</f>
        <v>-25040.92</v>
      </c>
      <c r="AM36" s="312"/>
      <c r="AN36" s="315">
        <f>ROUND(AN4+AN15-AN35,5)</f>
        <v>13914</v>
      </c>
      <c r="AO36" s="312"/>
      <c r="AP36" s="594">
        <f t="shared" si="12"/>
        <v>5611.37</v>
      </c>
      <c r="AQ36" s="590"/>
      <c r="AR36" s="594">
        <f>ROUND(X36+AB36+AF36+AJ36+AN36,5)</f>
        <v>-1668</v>
      </c>
      <c r="AS36" s="312"/>
      <c r="AT36" s="315">
        <f>ROUND(AT4+AT15-AT35,5)</f>
        <v>0</v>
      </c>
      <c r="AU36" s="312"/>
      <c r="AV36" s="312"/>
      <c r="AW36" s="312"/>
      <c r="AX36" s="315">
        <f>ROUND(AX4+AX15-AX35,5)</f>
        <v>-32002.59</v>
      </c>
      <c r="AY36" s="312"/>
      <c r="AZ36" s="315">
        <f>ROUND(AZ4+AZ15-AZ35,5)</f>
        <v>12898</v>
      </c>
      <c r="BA36" s="312"/>
      <c r="BB36" s="594">
        <f t="shared" si="13"/>
        <v>-32002.59</v>
      </c>
      <c r="BC36" s="590"/>
      <c r="BD36" s="594">
        <f>ROUND(AV36+AZ36,5)</f>
        <v>12898</v>
      </c>
      <c r="BE36" s="312"/>
      <c r="BF36" s="580">
        <f>ROUND(BF4+BF15-BF35,5)</f>
        <v>-11479.91</v>
      </c>
      <c r="BG36" s="576"/>
      <c r="BH36" s="580">
        <f>ROUND(BH4+BH15-BH35,5)</f>
        <v>-12589</v>
      </c>
      <c r="BI36" s="312"/>
      <c r="BJ36" s="580">
        <f>ROUND(BJ4+BJ15-BJ35,5)</f>
        <v>-4679.82</v>
      </c>
      <c r="BK36" s="576"/>
      <c r="BL36" s="580">
        <f>ROUND(BL4+BL15-BL35,5)</f>
        <v>75989</v>
      </c>
      <c r="BM36" s="312"/>
      <c r="BN36" s="315">
        <f t="shared" si="14"/>
        <v>-48162.32</v>
      </c>
      <c r="BO36" s="312"/>
      <c r="BP36" s="315">
        <f>ROUND(BD36+BH36+BL36,5)</f>
        <v>76298</v>
      </c>
      <c r="BQ36" s="312"/>
      <c r="BR36" s="315">
        <f>ROUND(BR4+BR15-BR35,5)</f>
        <v>0</v>
      </c>
      <c r="BS36" s="312"/>
      <c r="BT36" s="312"/>
      <c r="BU36" s="312"/>
      <c r="BV36" s="315">
        <f>ROUND(BV4+BV15-BV35,5)</f>
        <v>-13414.99</v>
      </c>
      <c r="BW36" s="312"/>
      <c r="BX36" s="315">
        <f>ROUND(BX4+BX15-BX35,5)</f>
        <v>-27719</v>
      </c>
      <c r="BY36" s="312"/>
      <c r="BZ36" s="594">
        <f t="shared" si="15"/>
        <v>-13414.99</v>
      </c>
      <c r="CA36" s="590"/>
      <c r="CB36" s="594">
        <f t="shared" si="26"/>
        <v>-27719</v>
      </c>
      <c r="CC36" s="312"/>
      <c r="CD36" s="315">
        <f t="shared" si="16"/>
        <v>-55965.94</v>
      </c>
      <c r="CE36" s="312"/>
      <c r="CF36" s="315">
        <f t="shared" si="27"/>
        <v>46911</v>
      </c>
      <c r="CG36" s="312"/>
      <c r="CH36" s="580">
        <f>ROUND(CH4+CH15-CH35,5)</f>
        <v>-37421.33</v>
      </c>
      <c r="CI36" s="576"/>
      <c r="CJ36" s="576"/>
      <c r="CK36" s="312"/>
      <c r="CL36" s="315">
        <f>ROUND(CL4+CL15-CL35,5)</f>
        <v>0</v>
      </c>
      <c r="CM36" s="312"/>
      <c r="CN36" s="315">
        <f>ROUND(CN4+CN15-CN35,5)</f>
        <v>0</v>
      </c>
      <c r="CO36" s="312"/>
      <c r="CP36" s="315">
        <f t="shared" si="17"/>
        <v>-62430.45</v>
      </c>
      <c r="CQ36" s="312"/>
      <c r="CR36" s="315">
        <f t="shared" si="18"/>
        <v>25434</v>
      </c>
      <c r="CT36" s="526">
        <f t="shared" si="8"/>
        <v>41923</v>
      </c>
      <c r="CU36" s="523">
        <f t="shared" si="9"/>
        <v>-16489</v>
      </c>
      <c r="CV36" s="340">
        <f t="shared" si="19"/>
        <v>25434</v>
      </c>
      <c r="CW36" s="317"/>
    </row>
    <row r="37" spans="1:101" s="317" customFormat="1" ht="15.75" thickBot="1" x14ac:dyDescent="0.3">
      <c r="A37" s="485" t="s">
        <v>187</v>
      </c>
      <c r="B37" s="485"/>
      <c r="C37" s="485"/>
      <c r="D37" s="485"/>
      <c r="E37" s="485"/>
      <c r="F37" s="316">
        <f>F36</f>
        <v>-16895.75</v>
      </c>
      <c r="G37" s="485"/>
      <c r="H37" s="316">
        <f>H36</f>
        <v>-25040</v>
      </c>
      <c r="I37" s="485"/>
      <c r="J37" s="316">
        <f>J36</f>
        <v>-33958.46</v>
      </c>
      <c r="K37" s="485"/>
      <c r="L37" s="316">
        <f>L36</f>
        <v>-32479</v>
      </c>
      <c r="M37" s="485"/>
      <c r="N37" s="581">
        <f t="shared" si="11"/>
        <v>-50854.21</v>
      </c>
      <c r="O37" s="582"/>
      <c r="P37" s="581">
        <f>ROUND(H37+L37,5)</f>
        <v>-57519</v>
      </c>
      <c r="Q37" s="485"/>
      <c r="R37" s="581">
        <f>R36</f>
        <v>81811.03</v>
      </c>
      <c r="S37" s="582"/>
      <c r="T37" s="581">
        <f>T36</f>
        <v>36042</v>
      </c>
      <c r="U37" s="485"/>
      <c r="V37" s="316">
        <f>V36</f>
        <v>0</v>
      </c>
      <c r="W37" s="485"/>
      <c r="X37" s="485"/>
      <c r="Y37" s="485"/>
      <c r="Z37" s="316">
        <f>Z36</f>
        <v>991.49</v>
      </c>
      <c r="AA37" s="485"/>
      <c r="AB37" s="485"/>
      <c r="AC37" s="485"/>
      <c r="AD37" s="316">
        <f>AD36</f>
        <v>3000</v>
      </c>
      <c r="AE37" s="485"/>
      <c r="AF37" s="485"/>
      <c r="AG37" s="485"/>
      <c r="AH37" s="316">
        <f>AH36</f>
        <v>26660.799999999999</v>
      </c>
      <c r="AI37" s="485"/>
      <c r="AJ37" s="316">
        <f>AJ36</f>
        <v>-15582</v>
      </c>
      <c r="AK37" s="485"/>
      <c r="AL37" s="316">
        <f>AL36</f>
        <v>-25040.92</v>
      </c>
      <c r="AM37" s="485"/>
      <c r="AN37" s="316">
        <f>AN36</f>
        <v>13914</v>
      </c>
      <c r="AO37" s="485"/>
      <c r="AP37" s="595">
        <f t="shared" si="12"/>
        <v>5611.37</v>
      </c>
      <c r="AQ37" s="596"/>
      <c r="AR37" s="595">
        <f>ROUND(X37+AB37+AF37+AJ37+AN37,5)</f>
        <v>-1668</v>
      </c>
      <c r="AS37" s="485"/>
      <c r="AT37" s="316">
        <f>AT36</f>
        <v>0</v>
      </c>
      <c r="AU37" s="485"/>
      <c r="AV37" s="485"/>
      <c r="AW37" s="485"/>
      <c r="AX37" s="316">
        <f>AX36</f>
        <v>-32002.59</v>
      </c>
      <c r="AY37" s="485"/>
      <c r="AZ37" s="316">
        <f>AZ36</f>
        <v>12898</v>
      </c>
      <c r="BA37" s="485"/>
      <c r="BB37" s="595">
        <f t="shared" si="13"/>
        <v>-32002.59</v>
      </c>
      <c r="BC37" s="596"/>
      <c r="BD37" s="595">
        <f>ROUND(AV37+AZ37,5)</f>
        <v>12898</v>
      </c>
      <c r="BE37" s="485"/>
      <c r="BF37" s="581">
        <f>BF36</f>
        <v>-11479.91</v>
      </c>
      <c r="BG37" s="582"/>
      <c r="BH37" s="581">
        <f>BH36</f>
        <v>-12589</v>
      </c>
      <c r="BI37" s="485"/>
      <c r="BJ37" s="581">
        <f>BJ36</f>
        <v>-4679.82</v>
      </c>
      <c r="BK37" s="582"/>
      <c r="BL37" s="581">
        <f>BL36</f>
        <v>75989</v>
      </c>
      <c r="BM37" s="485"/>
      <c r="BN37" s="316">
        <f t="shared" si="14"/>
        <v>-48162.32</v>
      </c>
      <c r="BO37" s="485"/>
      <c r="BP37" s="316">
        <f>ROUND(BD37+BH37+BL37,5)</f>
        <v>76298</v>
      </c>
      <c r="BQ37" s="485"/>
      <c r="BR37" s="316">
        <f>BR36</f>
        <v>0</v>
      </c>
      <c r="BS37" s="485"/>
      <c r="BT37" s="485"/>
      <c r="BU37" s="485"/>
      <c r="BV37" s="316">
        <f>BV36</f>
        <v>-13414.99</v>
      </c>
      <c r="BW37" s="485"/>
      <c r="BX37" s="316">
        <f>BX36</f>
        <v>-27719</v>
      </c>
      <c r="BY37" s="485"/>
      <c r="BZ37" s="595">
        <f t="shared" si="15"/>
        <v>-13414.99</v>
      </c>
      <c r="CA37" s="596"/>
      <c r="CB37" s="595">
        <f t="shared" si="26"/>
        <v>-27719</v>
      </c>
      <c r="CC37" s="485"/>
      <c r="CD37" s="316">
        <f t="shared" si="16"/>
        <v>-55965.94</v>
      </c>
      <c r="CE37" s="485"/>
      <c r="CF37" s="316">
        <f t="shared" si="27"/>
        <v>46911</v>
      </c>
      <c r="CG37" s="485"/>
      <c r="CH37" s="581">
        <f>CH36</f>
        <v>-37421.33</v>
      </c>
      <c r="CI37" s="582"/>
      <c r="CJ37" s="582"/>
      <c r="CK37" s="485"/>
      <c r="CL37" s="316">
        <f>CL36</f>
        <v>0</v>
      </c>
      <c r="CM37" s="485"/>
      <c r="CN37" s="316">
        <f>CN36</f>
        <v>0</v>
      </c>
      <c r="CO37" s="485"/>
      <c r="CP37" s="316">
        <f t="shared" si="17"/>
        <v>-62430.45</v>
      </c>
      <c r="CQ37" s="485"/>
      <c r="CR37" s="316">
        <f t="shared" si="18"/>
        <v>25434</v>
      </c>
      <c r="CT37" s="526">
        <f t="shared" si="8"/>
        <v>41923</v>
      </c>
      <c r="CU37" s="523">
        <f t="shared" si="9"/>
        <v>-16489</v>
      </c>
      <c r="CV37" s="340">
        <f t="shared" si="19"/>
        <v>25434</v>
      </c>
    </row>
    <row r="38" spans="1:101" ht="15.75" thickTop="1" x14ac:dyDescent="0.25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F61"/>
  <sheetViews>
    <sheetView workbookViewId="0">
      <pane xSplit="7" ySplit="1" topLeftCell="H8" activePane="bottomRight" state="frozenSplit"/>
      <selection pane="topRight" activeCell="H1" sqref="H1"/>
      <selection pane="bottomLeft" activeCell="A2" sqref="A2"/>
      <selection pane="bottomRight" activeCell="Y77" sqref="Y77"/>
    </sheetView>
  </sheetViews>
  <sheetFormatPr defaultRowHeight="15" x14ac:dyDescent="0.25"/>
  <cols>
    <col min="1" max="6" width="3" style="463" customWidth="1"/>
    <col min="7" max="7" width="35.140625" style="463" customWidth="1"/>
    <col min="8" max="8" width="8.42578125" style="464" bestFit="1" customWidth="1"/>
    <col min="9" max="9" width="2.28515625" style="464" customWidth="1"/>
    <col min="10" max="10" width="8.42578125" style="464" bestFit="1" customWidth="1"/>
    <col min="11" max="11" width="2.28515625" style="464" customWidth="1"/>
    <col min="12" max="12" width="8.42578125" style="464" bestFit="1" customWidth="1"/>
    <col min="13" max="13" width="2.28515625" style="464" customWidth="1"/>
    <col min="14" max="14" width="8.42578125" style="464" bestFit="1" customWidth="1"/>
    <col min="15" max="15" width="2.28515625" style="464" customWidth="1"/>
    <col min="16" max="16" width="8.42578125" style="464" bestFit="1" customWidth="1"/>
    <col min="17" max="17" width="2.28515625" style="464" customWidth="1"/>
    <col min="18" max="18" width="8.42578125" style="464" bestFit="1" customWidth="1"/>
    <col min="19" max="19" width="2.28515625" style="464" customWidth="1"/>
    <col min="20" max="20" width="7.85546875" style="464" bestFit="1" customWidth="1"/>
    <col min="21" max="21" width="2.28515625" style="464" customWidth="1"/>
    <col min="22" max="22" width="8.7109375" style="464" bestFit="1" customWidth="1"/>
    <col min="23" max="23" width="2.28515625" style="464" customWidth="1"/>
    <col min="24" max="24" width="7.85546875" style="464" bestFit="1" customWidth="1"/>
    <col min="25" max="25" width="2.28515625" style="464" customWidth="1"/>
    <col min="26" max="26" width="8.42578125" style="464" bestFit="1" customWidth="1"/>
    <col min="27" max="27" width="2.28515625" style="464" customWidth="1"/>
    <col min="28" max="28" width="7.85546875" style="464" bestFit="1" customWidth="1"/>
    <col min="29" max="29" width="2.28515625" style="464" customWidth="1"/>
    <col min="30" max="30" width="7.85546875" style="464" bestFit="1" customWidth="1"/>
    <col min="31" max="31" width="2.28515625" style="464" customWidth="1"/>
    <col min="32" max="32" width="11.5703125" style="464" bestFit="1" customWidth="1"/>
    <col min="33" max="16384" width="9.140625" style="462"/>
  </cols>
  <sheetData>
    <row r="1" spans="1:32" ht="15.75" x14ac:dyDescent="0.25">
      <c r="A1" s="498" t="s">
        <v>364</v>
      </c>
      <c r="B1" s="485"/>
      <c r="C1" s="485"/>
      <c r="D1" s="485"/>
      <c r="E1" s="485"/>
      <c r="F1" s="485"/>
      <c r="G1" s="485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  <c r="Y1" s="307"/>
      <c r="Z1" s="307"/>
      <c r="AA1" s="307"/>
      <c r="AB1" s="307"/>
      <c r="AC1" s="307"/>
      <c r="AD1" s="307"/>
      <c r="AE1" s="307"/>
      <c r="AF1" s="499" t="s">
        <v>514</v>
      </c>
    </row>
    <row r="2" spans="1:32" ht="18" x14ac:dyDescent="0.25">
      <c r="A2" s="500" t="s">
        <v>365</v>
      </c>
      <c r="B2" s="485"/>
      <c r="C2" s="485"/>
      <c r="D2" s="485"/>
      <c r="E2" s="485"/>
      <c r="F2" s="485"/>
      <c r="G2" s="485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07"/>
      <c r="Z2" s="307"/>
      <c r="AA2" s="307"/>
      <c r="AB2" s="307"/>
      <c r="AC2" s="307"/>
      <c r="AD2" s="307"/>
      <c r="AE2" s="307"/>
      <c r="AF2" s="501">
        <v>44000</v>
      </c>
    </row>
    <row r="3" spans="1:32" x14ac:dyDescent="0.25">
      <c r="A3" s="502" t="s">
        <v>515</v>
      </c>
      <c r="B3" s="485"/>
      <c r="C3" s="485"/>
      <c r="D3" s="485"/>
      <c r="E3" s="485"/>
      <c r="F3" s="485"/>
      <c r="G3" s="485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07"/>
      <c r="X3" s="307"/>
      <c r="Y3" s="307"/>
      <c r="Z3" s="307"/>
      <c r="AA3" s="307"/>
      <c r="AB3" s="307"/>
      <c r="AC3" s="307"/>
      <c r="AD3" s="307"/>
      <c r="AE3" s="307"/>
      <c r="AF3" s="499" t="s">
        <v>366</v>
      </c>
    </row>
    <row r="4" spans="1:32" s="466" customFormat="1" ht="15.75" thickBot="1" x14ac:dyDescent="0.3">
      <c r="A4" s="465"/>
      <c r="B4" s="465"/>
      <c r="C4" s="465"/>
      <c r="D4" s="465"/>
      <c r="E4" s="465"/>
      <c r="F4" s="465"/>
      <c r="G4" s="465"/>
      <c r="H4" s="341" t="s">
        <v>188</v>
      </c>
      <c r="I4" s="310"/>
      <c r="J4" s="341" t="s">
        <v>189</v>
      </c>
      <c r="K4" s="310"/>
      <c r="L4" s="341" t="s">
        <v>190</v>
      </c>
      <c r="M4" s="310"/>
      <c r="N4" s="341" t="s">
        <v>191</v>
      </c>
      <c r="O4" s="310"/>
      <c r="P4" s="341" t="s">
        <v>192</v>
      </c>
      <c r="Q4" s="310"/>
      <c r="R4" s="341" t="s">
        <v>193</v>
      </c>
      <c r="S4" s="310"/>
      <c r="T4" s="341" t="s">
        <v>194</v>
      </c>
      <c r="U4" s="310"/>
      <c r="V4" s="341" t="s">
        <v>195</v>
      </c>
      <c r="W4" s="310"/>
      <c r="X4" s="341" t="s">
        <v>196</v>
      </c>
      <c r="Y4" s="310"/>
      <c r="Z4" s="341" t="s">
        <v>197</v>
      </c>
      <c r="AA4" s="310"/>
      <c r="AB4" s="341" t="s">
        <v>502</v>
      </c>
      <c r="AC4" s="310"/>
      <c r="AD4" s="341" t="s">
        <v>508</v>
      </c>
      <c r="AE4" s="310"/>
      <c r="AF4" s="341" t="s">
        <v>156</v>
      </c>
    </row>
    <row r="5" spans="1:32" ht="15.75" thickTop="1" x14ac:dyDescent="0.25">
      <c r="A5" s="485"/>
      <c r="B5" s="485" t="s">
        <v>157</v>
      </c>
      <c r="C5" s="485"/>
      <c r="D5" s="485"/>
      <c r="E5" s="485"/>
      <c r="F5" s="485"/>
      <c r="G5" s="485"/>
      <c r="H5" s="468"/>
      <c r="I5" s="312"/>
      <c r="J5" s="468"/>
      <c r="K5" s="312"/>
      <c r="L5" s="468"/>
      <c r="M5" s="312"/>
      <c r="N5" s="468"/>
      <c r="O5" s="312"/>
      <c r="P5" s="468"/>
      <c r="Q5" s="312"/>
      <c r="R5" s="468"/>
      <c r="S5" s="312"/>
      <c r="T5" s="468"/>
      <c r="U5" s="312"/>
      <c r="V5" s="468"/>
      <c r="W5" s="312"/>
      <c r="X5" s="468"/>
      <c r="Y5" s="312"/>
      <c r="Z5" s="468"/>
      <c r="AA5" s="312"/>
      <c r="AB5" s="468"/>
      <c r="AC5" s="312"/>
      <c r="AD5" s="468"/>
      <c r="AE5" s="312"/>
      <c r="AF5" s="468"/>
    </row>
    <row r="6" spans="1:32" x14ac:dyDescent="0.25">
      <c r="A6" s="485"/>
      <c r="B6" s="485"/>
      <c r="C6" s="485"/>
      <c r="D6" s="485" t="s">
        <v>158</v>
      </c>
      <c r="E6" s="485"/>
      <c r="F6" s="485"/>
      <c r="G6" s="485"/>
      <c r="H6" s="468"/>
      <c r="I6" s="312"/>
      <c r="J6" s="468"/>
      <c r="K6" s="312"/>
      <c r="L6" s="468"/>
      <c r="M6" s="312"/>
      <c r="N6" s="468"/>
      <c r="O6" s="312"/>
      <c r="P6" s="468"/>
      <c r="Q6" s="312"/>
      <c r="R6" s="468"/>
      <c r="S6" s="312"/>
      <c r="T6" s="468"/>
      <c r="U6" s="312"/>
      <c r="V6" s="468"/>
      <c r="W6" s="312"/>
      <c r="X6" s="468"/>
      <c r="Y6" s="312"/>
      <c r="Z6" s="468"/>
      <c r="AA6" s="312"/>
      <c r="AB6" s="468"/>
      <c r="AC6" s="312"/>
      <c r="AD6" s="468"/>
      <c r="AE6" s="312"/>
      <c r="AF6" s="468"/>
    </row>
    <row r="7" spans="1:32" x14ac:dyDescent="0.25">
      <c r="A7" s="485"/>
      <c r="B7" s="485"/>
      <c r="C7" s="485"/>
      <c r="D7" s="485"/>
      <c r="E7" s="485" t="s">
        <v>160</v>
      </c>
      <c r="F7" s="485"/>
      <c r="G7" s="485"/>
      <c r="H7" s="468"/>
      <c r="I7" s="312"/>
      <c r="J7" s="468"/>
      <c r="K7" s="312"/>
      <c r="L7" s="468"/>
      <c r="M7" s="312"/>
      <c r="N7" s="468"/>
      <c r="O7" s="312"/>
      <c r="P7" s="468"/>
      <c r="Q7" s="312"/>
      <c r="R7" s="468"/>
      <c r="S7" s="312"/>
      <c r="T7" s="468"/>
      <c r="U7" s="312"/>
      <c r="V7" s="468"/>
      <c r="W7" s="312"/>
      <c r="X7" s="468"/>
      <c r="Y7" s="312"/>
      <c r="Z7" s="468"/>
      <c r="AA7" s="312"/>
      <c r="AB7" s="468"/>
      <c r="AC7" s="312"/>
      <c r="AD7" s="468"/>
      <c r="AE7" s="312"/>
      <c r="AF7" s="468"/>
    </row>
    <row r="8" spans="1:32" x14ac:dyDescent="0.25">
      <c r="A8" s="485"/>
      <c r="B8" s="485"/>
      <c r="C8" s="485"/>
      <c r="D8" s="485"/>
      <c r="E8" s="485"/>
      <c r="F8" s="485" t="s">
        <v>390</v>
      </c>
      <c r="G8" s="485"/>
      <c r="H8" s="468"/>
      <c r="I8" s="312"/>
      <c r="J8" s="468"/>
      <c r="K8" s="312"/>
      <c r="L8" s="468"/>
      <c r="M8" s="312"/>
      <c r="N8" s="468"/>
      <c r="O8" s="312"/>
      <c r="P8" s="468"/>
      <c r="Q8" s="312"/>
      <c r="R8" s="468"/>
      <c r="S8" s="312"/>
      <c r="T8" s="468"/>
      <c r="U8" s="312"/>
      <c r="V8" s="468"/>
      <c r="W8" s="312"/>
      <c r="X8" s="468"/>
      <c r="Y8" s="312"/>
      <c r="Z8" s="468"/>
      <c r="AA8" s="312"/>
      <c r="AB8" s="468"/>
      <c r="AC8" s="312"/>
      <c r="AD8" s="468"/>
      <c r="AE8" s="312"/>
      <c r="AF8" s="468"/>
    </row>
    <row r="9" spans="1:32" ht="15.75" thickBot="1" x14ac:dyDescent="0.3">
      <c r="A9" s="485"/>
      <c r="B9" s="485"/>
      <c r="C9" s="485"/>
      <c r="D9" s="485"/>
      <c r="E9" s="485"/>
      <c r="F9" s="485"/>
      <c r="G9" s="485" t="s">
        <v>391</v>
      </c>
      <c r="H9" s="313">
        <v>0</v>
      </c>
      <c r="I9" s="312"/>
      <c r="J9" s="313">
        <v>4089.75</v>
      </c>
      <c r="K9" s="312"/>
      <c r="L9" s="313">
        <v>501.37</v>
      </c>
      <c r="M9" s="312"/>
      <c r="N9" s="313">
        <v>3153.5</v>
      </c>
      <c r="O9" s="312"/>
      <c r="P9" s="313">
        <v>756</v>
      </c>
      <c r="Q9" s="312"/>
      <c r="R9" s="313">
        <v>191.63</v>
      </c>
      <c r="S9" s="312"/>
      <c r="T9" s="313">
        <v>1166.3800000000001</v>
      </c>
      <c r="U9" s="312"/>
      <c r="V9" s="313">
        <v>346.5</v>
      </c>
      <c r="W9" s="312"/>
      <c r="X9" s="313">
        <v>257.25</v>
      </c>
      <c r="Y9" s="312"/>
      <c r="Z9" s="313">
        <v>0</v>
      </c>
      <c r="AA9" s="312"/>
      <c r="AB9" s="313">
        <v>1697.5</v>
      </c>
      <c r="AC9" s="312"/>
      <c r="AD9" s="313">
        <v>257.75</v>
      </c>
      <c r="AE9" s="312"/>
      <c r="AF9" s="313">
        <f t="shared" ref="AF9:AF19" si="0">ROUND(SUM(H9:AD9),5)</f>
        <v>12417.63</v>
      </c>
    </row>
    <row r="10" spans="1:32" x14ac:dyDescent="0.25">
      <c r="A10" s="485"/>
      <c r="B10" s="485"/>
      <c r="C10" s="485"/>
      <c r="D10" s="485"/>
      <c r="E10" s="485"/>
      <c r="F10" s="485" t="s">
        <v>392</v>
      </c>
      <c r="G10" s="485"/>
      <c r="H10" s="468">
        <f>ROUND(SUM(H8:H9),5)</f>
        <v>0</v>
      </c>
      <c r="I10" s="312"/>
      <c r="J10" s="468">
        <f>ROUND(SUM(J8:J9),5)</f>
        <v>4089.75</v>
      </c>
      <c r="K10" s="312"/>
      <c r="L10" s="468">
        <f>ROUND(SUM(L8:L9),5)</f>
        <v>501.37</v>
      </c>
      <c r="M10" s="312"/>
      <c r="N10" s="468">
        <f>ROUND(SUM(N8:N9),5)</f>
        <v>3153.5</v>
      </c>
      <c r="O10" s="312"/>
      <c r="P10" s="468">
        <f>ROUND(SUM(P8:P9),5)</f>
        <v>756</v>
      </c>
      <c r="Q10" s="312"/>
      <c r="R10" s="468">
        <f>ROUND(SUM(R8:R9),5)</f>
        <v>191.63</v>
      </c>
      <c r="S10" s="312"/>
      <c r="T10" s="468">
        <f>ROUND(SUM(T8:T9),5)</f>
        <v>1166.3800000000001</v>
      </c>
      <c r="U10" s="312"/>
      <c r="V10" s="468">
        <f>ROUND(SUM(V8:V9),5)</f>
        <v>346.5</v>
      </c>
      <c r="W10" s="312"/>
      <c r="X10" s="468">
        <f>ROUND(SUM(X8:X9),5)</f>
        <v>257.25</v>
      </c>
      <c r="Y10" s="312"/>
      <c r="Z10" s="468">
        <f>ROUND(SUM(Z8:Z9),5)</f>
        <v>0</v>
      </c>
      <c r="AA10" s="312"/>
      <c r="AB10" s="468">
        <f>ROUND(SUM(AB8:AB9),5)</f>
        <v>1697.5</v>
      </c>
      <c r="AC10" s="312"/>
      <c r="AD10" s="468">
        <f>ROUND(SUM(AD8:AD9),5)</f>
        <v>257.75</v>
      </c>
      <c r="AE10" s="312"/>
      <c r="AF10" s="468">
        <f t="shared" si="0"/>
        <v>12417.63</v>
      </c>
    </row>
    <row r="11" spans="1:32" x14ac:dyDescent="0.25">
      <c r="A11" s="485"/>
      <c r="B11" s="485"/>
      <c r="C11" s="485"/>
      <c r="D11" s="485"/>
      <c r="E11" s="485"/>
      <c r="F11" s="485" t="s">
        <v>393</v>
      </c>
      <c r="G11" s="485"/>
      <c r="H11" s="468">
        <v>500</v>
      </c>
      <c r="I11" s="312"/>
      <c r="J11" s="468">
        <v>1000</v>
      </c>
      <c r="K11" s="312"/>
      <c r="L11" s="468">
        <v>0</v>
      </c>
      <c r="M11" s="312"/>
      <c r="N11" s="468">
        <v>0</v>
      </c>
      <c r="O11" s="312"/>
      <c r="P11" s="468">
        <v>0</v>
      </c>
      <c r="Q11" s="312"/>
      <c r="R11" s="468">
        <v>200</v>
      </c>
      <c r="S11" s="312"/>
      <c r="T11" s="468">
        <v>500</v>
      </c>
      <c r="U11" s="312"/>
      <c r="V11" s="468">
        <v>0</v>
      </c>
      <c r="W11" s="312"/>
      <c r="X11" s="468">
        <v>8100</v>
      </c>
      <c r="Y11" s="312"/>
      <c r="Z11" s="468">
        <v>8100</v>
      </c>
      <c r="AA11" s="312"/>
      <c r="AB11" s="468">
        <v>5750</v>
      </c>
      <c r="AC11" s="312"/>
      <c r="AD11" s="468">
        <v>500</v>
      </c>
      <c r="AE11" s="312"/>
      <c r="AF11" s="468">
        <f t="shared" si="0"/>
        <v>24650</v>
      </c>
    </row>
    <row r="12" spans="1:32" x14ac:dyDescent="0.25">
      <c r="A12" s="485"/>
      <c r="B12" s="485"/>
      <c r="C12" s="485"/>
      <c r="D12" s="485"/>
      <c r="E12" s="485"/>
      <c r="F12" s="485" t="s">
        <v>394</v>
      </c>
      <c r="G12" s="485"/>
      <c r="H12" s="468">
        <v>0</v>
      </c>
      <c r="I12" s="312"/>
      <c r="J12" s="468">
        <v>0</v>
      </c>
      <c r="K12" s="312"/>
      <c r="L12" s="468">
        <v>0</v>
      </c>
      <c r="M12" s="312"/>
      <c r="N12" s="468">
        <v>0</v>
      </c>
      <c r="O12" s="312"/>
      <c r="P12" s="468">
        <v>0</v>
      </c>
      <c r="Q12" s="312"/>
      <c r="R12" s="468">
        <v>0</v>
      </c>
      <c r="S12" s="312"/>
      <c r="T12" s="468">
        <v>0</v>
      </c>
      <c r="U12" s="312"/>
      <c r="V12" s="468">
        <v>0</v>
      </c>
      <c r="W12" s="312"/>
      <c r="X12" s="468">
        <v>0</v>
      </c>
      <c r="Y12" s="312"/>
      <c r="Z12" s="468">
        <v>200</v>
      </c>
      <c r="AA12" s="312"/>
      <c r="AB12" s="468">
        <v>0</v>
      </c>
      <c r="AC12" s="312"/>
      <c r="AD12" s="468">
        <v>0</v>
      </c>
      <c r="AE12" s="312"/>
      <c r="AF12" s="468">
        <f t="shared" si="0"/>
        <v>200</v>
      </c>
    </row>
    <row r="13" spans="1:32" x14ac:dyDescent="0.25">
      <c r="A13" s="485"/>
      <c r="B13" s="485"/>
      <c r="C13" s="485"/>
      <c r="D13" s="485"/>
      <c r="E13" s="485"/>
      <c r="F13" s="485" t="s">
        <v>395</v>
      </c>
      <c r="G13" s="485"/>
      <c r="H13" s="468">
        <v>2135</v>
      </c>
      <c r="I13" s="312"/>
      <c r="J13" s="468">
        <v>8109</v>
      </c>
      <c r="K13" s="312"/>
      <c r="L13" s="468">
        <v>6787.39</v>
      </c>
      <c r="M13" s="312"/>
      <c r="N13" s="468">
        <v>8384</v>
      </c>
      <c r="O13" s="312"/>
      <c r="P13" s="468">
        <v>1809.32</v>
      </c>
      <c r="Q13" s="312"/>
      <c r="R13" s="468">
        <v>9599.51</v>
      </c>
      <c r="S13" s="312"/>
      <c r="T13" s="468">
        <v>48775.4</v>
      </c>
      <c r="U13" s="312"/>
      <c r="V13" s="468">
        <v>29040.880000000001</v>
      </c>
      <c r="W13" s="312"/>
      <c r="X13" s="468">
        <v>3653.25</v>
      </c>
      <c r="Y13" s="312"/>
      <c r="Z13" s="468">
        <v>6538.96</v>
      </c>
      <c r="AA13" s="312"/>
      <c r="AB13" s="468">
        <v>23478.880000000001</v>
      </c>
      <c r="AC13" s="312"/>
      <c r="AD13" s="468">
        <v>18956.990000000002</v>
      </c>
      <c r="AE13" s="312"/>
      <c r="AF13" s="468">
        <f t="shared" si="0"/>
        <v>167268.57999999999</v>
      </c>
    </row>
    <row r="14" spans="1:32" x14ac:dyDescent="0.25">
      <c r="A14" s="485"/>
      <c r="B14" s="485"/>
      <c r="C14" s="485"/>
      <c r="D14" s="485"/>
      <c r="E14" s="485"/>
      <c r="F14" s="485" t="s">
        <v>396</v>
      </c>
      <c r="G14" s="485"/>
      <c r="H14" s="468">
        <v>110</v>
      </c>
      <c r="I14" s="312"/>
      <c r="J14" s="468">
        <v>10</v>
      </c>
      <c r="K14" s="312"/>
      <c r="L14" s="468">
        <v>10</v>
      </c>
      <c r="M14" s="312"/>
      <c r="N14" s="468">
        <v>50</v>
      </c>
      <c r="O14" s="312"/>
      <c r="P14" s="468">
        <v>0</v>
      </c>
      <c r="Q14" s="312"/>
      <c r="R14" s="468">
        <v>2443.35</v>
      </c>
      <c r="S14" s="312"/>
      <c r="T14" s="468">
        <v>1149.73</v>
      </c>
      <c r="U14" s="312"/>
      <c r="V14" s="468">
        <v>227.83</v>
      </c>
      <c r="W14" s="312"/>
      <c r="X14" s="468">
        <v>11421</v>
      </c>
      <c r="Y14" s="312"/>
      <c r="Z14" s="468">
        <v>281</v>
      </c>
      <c r="AA14" s="312"/>
      <c r="AB14" s="468">
        <v>6160.79</v>
      </c>
      <c r="AC14" s="312"/>
      <c r="AD14" s="468">
        <v>546</v>
      </c>
      <c r="AE14" s="312"/>
      <c r="AF14" s="468">
        <f t="shared" si="0"/>
        <v>22409.7</v>
      </c>
    </row>
    <row r="15" spans="1:32" x14ac:dyDescent="0.25">
      <c r="A15" s="485"/>
      <c r="B15" s="485"/>
      <c r="C15" s="485"/>
      <c r="D15" s="485"/>
      <c r="E15" s="485"/>
      <c r="F15" s="485" t="s">
        <v>205</v>
      </c>
      <c r="G15" s="485"/>
      <c r="H15" s="468">
        <v>207.5</v>
      </c>
      <c r="I15" s="312"/>
      <c r="J15" s="468">
        <v>0</v>
      </c>
      <c r="K15" s="312"/>
      <c r="L15" s="468">
        <v>118.86</v>
      </c>
      <c r="M15" s="312"/>
      <c r="N15" s="468">
        <v>33.049999999999997</v>
      </c>
      <c r="O15" s="312"/>
      <c r="P15" s="468">
        <v>425</v>
      </c>
      <c r="Q15" s="312"/>
      <c r="R15" s="468">
        <v>0</v>
      </c>
      <c r="S15" s="312"/>
      <c r="T15" s="468">
        <v>0</v>
      </c>
      <c r="U15" s="312"/>
      <c r="V15" s="468">
        <v>210.13</v>
      </c>
      <c r="W15" s="312"/>
      <c r="X15" s="468">
        <v>0</v>
      </c>
      <c r="Y15" s="312"/>
      <c r="Z15" s="468">
        <v>0</v>
      </c>
      <c r="AA15" s="312"/>
      <c r="AB15" s="468">
        <v>0</v>
      </c>
      <c r="AC15" s="312"/>
      <c r="AD15" s="468">
        <v>0</v>
      </c>
      <c r="AE15" s="312"/>
      <c r="AF15" s="468">
        <f t="shared" si="0"/>
        <v>994.54</v>
      </c>
    </row>
    <row r="16" spans="1:32" x14ac:dyDescent="0.25">
      <c r="A16" s="485"/>
      <c r="B16" s="485"/>
      <c r="C16" s="485"/>
      <c r="D16" s="485"/>
      <c r="E16" s="485"/>
      <c r="F16" s="485" t="s">
        <v>206</v>
      </c>
      <c r="G16" s="485"/>
      <c r="H16" s="468">
        <v>0</v>
      </c>
      <c r="I16" s="312"/>
      <c r="J16" s="468">
        <v>0</v>
      </c>
      <c r="K16" s="312"/>
      <c r="L16" s="468">
        <v>0</v>
      </c>
      <c r="M16" s="312"/>
      <c r="N16" s="468">
        <v>0</v>
      </c>
      <c r="O16" s="312"/>
      <c r="P16" s="468">
        <v>0</v>
      </c>
      <c r="Q16" s="312"/>
      <c r="R16" s="468">
        <v>0</v>
      </c>
      <c r="S16" s="312"/>
      <c r="T16" s="468">
        <v>0</v>
      </c>
      <c r="U16" s="312"/>
      <c r="V16" s="468">
        <v>0</v>
      </c>
      <c r="W16" s="312"/>
      <c r="X16" s="468">
        <v>100</v>
      </c>
      <c r="Y16" s="312"/>
      <c r="Z16" s="468">
        <v>1350</v>
      </c>
      <c r="AA16" s="312"/>
      <c r="AB16" s="468">
        <v>0</v>
      </c>
      <c r="AC16" s="312"/>
      <c r="AD16" s="468">
        <v>0</v>
      </c>
      <c r="AE16" s="312"/>
      <c r="AF16" s="468">
        <f t="shared" si="0"/>
        <v>1450</v>
      </c>
    </row>
    <row r="17" spans="1:32" x14ac:dyDescent="0.25">
      <c r="A17" s="485"/>
      <c r="B17" s="485"/>
      <c r="C17" s="485"/>
      <c r="D17" s="485"/>
      <c r="E17" s="485"/>
      <c r="F17" s="485" t="s">
        <v>207</v>
      </c>
      <c r="G17" s="485"/>
      <c r="H17" s="468">
        <v>15000</v>
      </c>
      <c r="I17" s="312"/>
      <c r="J17" s="468">
        <v>0</v>
      </c>
      <c r="K17" s="312"/>
      <c r="L17" s="468">
        <v>0</v>
      </c>
      <c r="M17" s="312"/>
      <c r="N17" s="468">
        <v>0</v>
      </c>
      <c r="O17" s="312"/>
      <c r="P17" s="468">
        <v>3000</v>
      </c>
      <c r="Q17" s="312"/>
      <c r="R17" s="468">
        <v>0</v>
      </c>
      <c r="S17" s="312"/>
      <c r="T17" s="468">
        <v>0</v>
      </c>
      <c r="U17" s="312"/>
      <c r="V17" s="468">
        <v>75000</v>
      </c>
      <c r="W17" s="312"/>
      <c r="X17" s="468">
        <v>0</v>
      </c>
      <c r="Y17" s="312"/>
      <c r="Z17" s="468">
        <v>0</v>
      </c>
      <c r="AA17" s="312"/>
      <c r="AB17" s="468">
        <v>11430</v>
      </c>
      <c r="AC17" s="312"/>
      <c r="AD17" s="468">
        <v>0</v>
      </c>
      <c r="AE17" s="312"/>
      <c r="AF17" s="468">
        <f t="shared" si="0"/>
        <v>104430</v>
      </c>
    </row>
    <row r="18" spans="1:32" ht="15.75" thickBot="1" x14ac:dyDescent="0.3">
      <c r="A18" s="485"/>
      <c r="B18" s="485"/>
      <c r="C18" s="485"/>
      <c r="D18" s="485"/>
      <c r="E18" s="485"/>
      <c r="F18" s="485" t="s">
        <v>208</v>
      </c>
      <c r="G18" s="485"/>
      <c r="H18" s="313">
        <v>1175</v>
      </c>
      <c r="I18" s="312"/>
      <c r="J18" s="313">
        <v>0</v>
      </c>
      <c r="K18" s="312"/>
      <c r="L18" s="313">
        <v>0</v>
      </c>
      <c r="M18" s="312"/>
      <c r="N18" s="313">
        <v>0</v>
      </c>
      <c r="O18" s="312"/>
      <c r="P18" s="313">
        <v>0</v>
      </c>
      <c r="Q18" s="312"/>
      <c r="R18" s="313">
        <v>0</v>
      </c>
      <c r="S18" s="312"/>
      <c r="T18" s="313">
        <v>0</v>
      </c>
      <c r="U18" s="312"/>
      <c r="V18" s="313">
        <v>0</v>
      </c>
      <c r="W18" s="312"/>
      <c r="X18" s="313">
        <v>0</v>
      </c>
      <c r="Y18" s="312"/>
      <c r="Z18" s="313">
        <v>0</v>
      </c>
      <c r="AA18" s="312"/>
      <c r="AB18" s="313">
        <v>0</v>
      </c>
      <c r="AC18" s="312"/>
      <c r="AD18" s="313">
        <v>0</v>
      </c>
      <c r="AE18" s="312"/>
      <c r="AF18" s="313">
        <f t="shared" si="0"/>
        <v>1175</v>
      </c>
    </row>
    <row r="19" spans="1:32" x14ac:dyDescent="0.25">
      <c r="A19" s="485"/>
      <c r="B19" s="485"/>
      <c r="C19" s="485"/>
      <c r="D19" s="485"/>
      <c r="E19" s="485" t="s">
        <v>209</v>
      </c>
      <c r="F19" s="485"/>
      <c r="G19" s="485"/>
      <c r="H19" s="468">
        <f>ROUND(H7+SUM(H10:H18),5)</f>
        <v>19127.5</v>
      </c>
      <c r="I19" s="312"/>
      <c r="J19" s="468">
        <f>ROUND(J7+SUM(J10:J18),5)</f>
        <v>13208.75</v>
      </c>
      <c r="K19" s="312"/>
      <c r="L19" s="468">
        <f>ROUND(L7+SUM(L10:L18),5)</f>
        <v>7417.62</v>
      </c>
      <c r="M19" s="312"/>
      <c r="N19" s="468">
        <f>ROUND(N7+SUM(N10:N18),5)</f>
        <v>11620.55</v>
      </c>
      <c r="O19" s="312"/>
      <c r="P19" s="468">
        <f>ROUND(P7+SUM(P10:P18),5)</f>
        <v>5990.32</v>
      </c>
      <c r="Q19" s="312"/>
      <c r="R19" s="468">
        <f>ROUND(R7+SUM(R10:R18),5)</f>
        <v>12434.49</v>
      </c>
      <c r="S19" s="312"/>
      <c r="T19" s="468">
        <f>ROUND(T7+SUM(T10:T18),5)</f>
        <v>51591.51</v>
      </c>
      <c r="U19" s="312"/>
      <c r="V19" s="468">
        <f>ROUND(V7+SUM(V10:V18),5)</f>
        <v>104825.34</v>
      </c>
      <c r="W19" s="312"/>
      <c r="X19" s="468">
        <f>ROUND(X7+SUM(X10:X18),5)</f>
        <v>23531.5</v>
      </c>
      <c r="Y19" s="312"/>
      <c r="Z19" s="468">
        <f>ROUND(Z7+SUM(Z10:Z18),5)</f>
        <v>16469.96</v>
      </c>
      <c r="AA19" s="312"/>
      <c r="AB19" s="468">
        <f>ROUND(AB7+SUM(AB10:AB18),5)</f>
        <v>48517.17</v>
      </c>
      <c r="AC19" s="312"/>
      <c r="AD19" s="468">
        <f>ROUND(AD7+SUM(AD10:AD18),5)</f>
        <v>20260.740000000002</v>
      </c>
      <c r="AE19" s="312"/>
      <c r="AF19" s="468">
        <f t="shared" si="0"/>
        <v>334995.45</v>
      </c>
    </row>
    <row r="20" spans="1:32" x14ac:dyDescent="0.25">
      <c r="A20" s="485"/>
      <c r="B20" s="485"/>
      <c r="C20" s="485"/>
      <c r="D20" s="485"/>
      <c r="E20" s="485" t="s">
        <v>397</v>
      </c>
      <c r="F20" s="485"/>
      <c r="G20" s="485"/>
      <c r="H20" s="468"/>
      <c r="I20" s="312"/>
      <c r="J20" s="468"/>
      <c r="K20" s="312"/>
      <c r="L20" s="468"/>
      <c r="M20" s="312"/>
      <c r="N20" s="468"/>
      <c r="O20" s="312"/>
      <c r="P20" s="468"/>
      <c r="Q20" s="312"/>
      <c r="R20" s="468"/>
      <c r="S20" s="312"/>
      <c r="T20" s="468"/>
      <c r="U20" s="312"/>
      <c r="V20" s="468"/>
      <c r="W20" s="312"/>
      <c r="X20" s="468"/>
      <c r="Y20" s="312"/>
      <c r="Z20" s="468"/>
      <c r="AA20" s="312"/>
      <c r="AB20" s="468"/>
      <c r="AC20" s="312"/>
      <c r="AD20" s="468"/>
      <c r="AE20" s="312"/>
      <c r="AF20" s="468"/>
    </row>
    <row r="21" spans="1:32" x14ac:dyDescent="0.25">
      <c r="A21" s="485"/>
      <c r="B21" s="485"/>
      <c r="C21" s="485"/>
      <c r="D21" s="485"/>
      <c r="E21" s="485"/>
      <c r="F21" s="485" t="s">
        <v>398</v>
      </c>
      <c r="G21" s="485"/>
      <c r="H21" s="468">
        <v>654.45000000000005</v>
      </c>
      <c r="I21" s="312"/>
      <c r="J21" s="468">
        <v>0</v>
      </c>
      <c r="K21" s="312"/>
      <c r="L21" s="468">
        <v>0</v>
      </c>
      <c r="M21" s="312"/>
      <c r="N21" s="468">
        <v>0</v>
      </c>
      <c r="O21" s="312"/>
      <c r="P21" s="468">
        <v>200.95</v>
      </c>
      <c r="Q21" s="312"/>
      <c r="R21" s="468">
        <v>429.18</v>
      </c>
      <c r="S21" s="312"/>
      <c r="T21" s="468">
        <v>179.7</v>
      </c>
      <c r="U21" s="312"/>
      <c r="V21" s="468">
        <v>120</v>
      </c>
      <c r="W21" s="312"/>
      <c r="X21" s="468">
        <v>0</v>
      </c>
      <c r="Y21" s="312"/>
      <c r="Z21" s="468">
        <v>0</v>
      </c>
      <c r="AA21" s="312"/>
      <c r="AB21" s="468">
        <v>0</v>
      </c>
      <c r="AC21" s="312"/>
      <c r="AD21" s="468">
        <v>0</v>
      </c>
      <c r="AE21" s="312"/>
      <c r="AF21" s="468">
        <f t="shared" ref="AF21:AF27" si="1">ROUND(SUM(H21:AD21),5)</f>
        <v>1584.28</v>
      </c>
    </row>
    <row r="22" spans="1:32" x14ac:dyDescent="0.25">
      <c r="A22" s="485"/>
      <c r="B22" s="485"/>
      <c r="C22" s="485"/>
      <c r="D22" s="485"/>
      <c r="E22" s="485"/>
      <c r="F22" s="485" t="s">
        <v>211</v>
      </c>
      <c r="G22" s="485"/>
      <c r="H22" s="468">
        <v>0</v>
      </c>
      <c r="I22" s="312"/>
      <c r="J22" s="468">
        <v>0</v>
      </c>
      <c r="K22" s="312"/>
      <c r="L22" s="468">
        <v>1066.67</v>
      </c>
      <c r="M22" s="312"/>
      <c r="N22" s="468">
        <v>1377</v>
      </c>
      <c r="O22" s="312"/>
      <c r="P22" s="468">
        <v>377.05</v>
      </c>
      <c r="Q22" s="312"/>
      <c r="R22" s="468">
        <v>420</v>
      </c>
      <c r="S22" s="312"/>
      <c r="T22" s="468">
        <v>-382.62</v>
      </c>
      <c r="U22" s="312"/>
      <c r="V22" s="468">
        <v>332.77</v>
      </c>
      <c r="W22" s="312"/>
      <c r="X22" s="468">
        <v>760</v>
      </c>
      <c r="Y22" s="312"/>
      <c r="Z22" s="468">
        <v>0</v>
      </c>
      <c r="AA22" s="312"/>
      <c r="AB22" s="468">
        <v>0</v>
      </c>
      <c r="AC22" s="312"/>
      <c r="AD22" s="468">
        <v>0</v>
      </c>
      <c r="AE22" s="312"/>
      <c r="AF22" s="468">
        <f t="shared" si="1"/>
        <v>3950.87</v>
      </c>
    </row>
    <row r="23" spans="1:32" x14ac:dyDescent="0.25">
      <c r="A23" s="485"/>
      <c r="B23" s="485"/>
      <c r="C23" s="485"/>
      <c r="D23" s="485"/>
      <c r="E23" s="485"/>
      <c r="F23" s="485" t="s">
        <v>212</v>
      </c>
      <c r="G23" s="485"/>
      <c r="H23" s="468">
        <v>0</v>
      </c>
      <c r="I23" s="312"/>
      <c r="J23" s="468">
        <v>0</v>
      </c>
      <c r="K23" s="312"/>
      <c r="L23" s="468">
        <v>0</v>
      </c>
      <c r="M23" s="312"/>
      <c r="N23" s="468">
        <v>44</v>
      </c>
      <c r="O23" s="312"/>
      <c r="P23" s="468">
        <v>24.5</v>
      </c>
      <c r="Q23" s="312"/>
      <c r="R23" s="468">
        <v>64</v>
      </c>
      <c r="S23" s="312"/>
      <c r="T23" s="468">
        <v>-124.37</v>
      </c>
      <c r="U23" s="312"/>
      <c r="V23" s="468">
        <v>0</v>
      </c>
      <c r="W23" s="312"/>
      <c r="X23" s="468">
        <v>0</v>
      </c>
      <c r="Y23" s="312"/>
      <c r="Z23" s="468">
        <v>-62.5</v>
      </c>
      <c r="AA23" s="312"/>
      <c r="AB23" s="468">
        <v>0</v>
      </c>
      <c r="AC23" s="312"/>
      <c r="AD23" s="468">
        <v>0</v>
      </c>
      <c r="AE23" s="312"/>
      <c r="AF23" s="468">
        <f t="shared" si="1"/>
        <v>-54.37</v>
      </c>
    </row>
    <row r="24" spans="1:32" ht="15.75" thickBot="1" x14ac:dyDescent="0.3">
      <c r="A24" s="485"/>
      <c r="B24" s="485"/>
      <c r="C24" s="485"/>
      <c r="D24" s="485"/>
      <c r="E24" s="485"/>
      <c r="F24" s="485" t="s">
        <v>399</v>
      </c>
      <c r="G24" s="485"/>
      <c r="H24" s="313">
        <v>1517</v>
      </c>
      <c r="I24" s="312"/>
      <c r="J24" s="313">
        <v>0</v>
      </c>
      <c r="K24" s="312"/>
      <c r="L24" s="313">
        <v>0</v>
      </c>
      <c r="M24" s="312"/>
      <c r="N24" s="313">
        <v>5000</v>
      </c>
      <c r="O24" s="312"/>
      <c r="P24" s="313">
        <v>0</v>
      </c>
      <c r="Q24" s="312"/>
      <c r="R24" s="313">
        <v>0</v>
      </c>
      <c r="S24" s="312"/>
      <c r="T24" s="313">
        <v>0</v>
      </c>
      <c r="U24" s="312"/>
      <c r="V24" s="313">
        <v>0</v>
      </c>
      <c r="W24" s="312"/>
      <c r="X24" s="313">
        <v>15000</v>
      </c>
      <c r="Y24" s="312"/>
      <c r="Z24" s="313">
        <v>0</v>
      </c>
      <c r="AA24" s="312"/>
      <c r="AB24" s="313">
        <v>0</v>
      </c>
      <c r="AC24" s="312"/>
      <c r="AD24" s="313">
        <v>8800</v>
      </c>
      <c r="AE24" s="312"/>
      <c r="AF24" s="313">
        <f t="shared" si="1"/>
        <v>30317</v>
      </c>
    </row>
    <row r="25" spans="1:32" x14ac:dyDescent="0.25">
      <c r="A25" s="485"/>
      <c r="B25" s="485"/>
      <c r="C25" s="485"/>
      <c r="D25" s="485"/>
      <c r="E25" s="485" t="s">
        <v>400</v>
      </c>
      <c r="F25" s="485"/>
      <c r="G25" s="485"/>
      <c r="H25" s="468">
        <f>ROUND(SUM(H20:H24),5)</f>
        <v>2171.4499999999998</v>
      </c>
      <c r="I25" s="312"/>
      <c r="J25" s="468">
        <f>ROUND(SUM(J20:J24),5)</f>
        <v>0</v>
      </c>
      <c r="K25" s="312"/>
      <c r="L25" s="468">
        <f>ROUND(SUM(L20:L24),5)</f>
        <v>1066.67</v>
      </c>
      <c r="M25" s="312"/>
      <c r="N25" s="468">
        <f>ROUND(SUM(N20:N24),5)</f>
        <v>6421</v>
      </c>
      <c r="O25" s="312"/>
      <c r="P25" s="468">
        <f>ROUND(SUM(P20:P24),5)</f>
        <v>602.5</v>
      </c>
      <c r="Q25" s="312"/>
      <c r="R25" s="468">
        <f>ROUND(SUM(R20:R24),5)</f>
        <v>913.18</v>
      </c>
      <c r="S25" s="312"/>
      <c r="T25" s="468">
        <f>ROUND(SUM(T20:T24),5)</f>
        <v>-327.29000000000002</v>
      </c>
      <c r="U25" s="312"/>
      <c r="V25" s="468">
        <f>ROUND(SUM(V20:V24),5)</f>
        <v>452.77</v>
      </c>
      <c r="W25" s="312"/>
      <c r="X25" s="468">
        <f>ROUND(SUM(X20:X24),5)</f>
        <v>15760</v>
      </c>
      <c r="Y25" s="312"/>
      <c r="Z25" s="468">
        <f>ROUND(SUM(Z20:Z24),5)</f>
        <v>-62.5</v>
      </c>
      <c r="AA25" s="312"/>
      <c r="AB25" s="468">
        <f>ROUND(SUM(AB20:AB24),5)</f>
        <v>0</v>
      </c>
      <c r="AC25" s="312"/>
      <c r="AD25" s="468">
        <f>ROUND(SUM(AD20:AD24),5)</f>
        <v>8800</v>
      </c>
      <c r="AE25" s="312"/>
      <c r="AF25" s="468">
        <f t="shared" si="1"/>
        <v>35797.78</v>
      </c>
    </row>
    <row r="26" spans="1:32" x14ac:dyDescent="0.25">
      <c r="A26" s="485"/>
      <c r="B26" s="485"/>
      <c r="C26" s="485"/>
      <c r="D26" s="485"/>
      <c r="E26" s="485" t="s">
        <v>401</v>
      </c>
      <c r="F26" s="485"/>
      <c r="G26" s="485"/>
      <c r="H26" s="468">
        <v>175</v>
      </c>
      <c r="I26" s="312"/>
      <c r="J26" s="468">
        <v>175</v>
      </c>
      <c r="K26" s="312"/>
      <c r="L26" s="468">
        <v>175</v>
      </c>
      <c r="M26" s="312"/>
      <c r="N26" s="468">
        <v>175</v>
      </c>
      <c r="O26" s="312"/>
      <c r="P26" s="468">
        <v>175</v>
      </c>
      <c r="Q26" s="312"/>
      <c r="R26" s="468">
        <v>175</v>
      </c>
      <c r="S26" s="312"/>
      <c r="T26" s="468">
        <v>175</v>
      </c>
      <c r="U26" s="312"/>
      <c r="V26" s="468">
        <v>175</v>
      </c>
      <c r="W26" s="312"/>
      <c r="X26" s="468">
        <v>175</v>
      </c>
      <c r="Y26" s="312"/>
      <c r="Z26" s="468">
        <v>175</v>
      </c>
      <c r="AA26" s="312"/>
      <c r="AB26" s="468">
        <v>175</v>
      </c>
      <c r="AC26" s="312"/>
      <c r="AD26" s="468">
        <v>175</v>
      </c>
      <c r="AE26" s="312"/>
      <c r="AF26" s="468">
        <f t="shared" si="1"/>
        <v>2100</v>
      </c>
    </row>
    <row r="27" spans="1:32" x14ac:dyDescent="0.25">
      <c r="A27" s="485"/>
      <c r="B27" s="485"/>
      <c r="C27" s="485"/>
      <c r="D27" s="485"/>
      <c r="E27" s="485" t="s">
        <v>163</v>
      </c>
      <c r="F27" s="485"/>
      <c r="G27" s="485"/>
      <c r="H27" s="468">
        <v>177.27</v>
      </c>
      <c r="I27" s="312"/>
      <c r="J27" s="468">
        <v>233.69</v>
      </c>
      <c r="K27" s="312"/>
      <c r="L27" s="468">
        <v>340.9</v>
      </c>
      <c r="M27" s="312"/>
      <c r="N27" s="468">
        <v>293.94</v>
      </c>
      <c r="O27" s="312"/>
      <c r="P27" s="468">
        <v>345</v>
      </c>
      <c r="Q27" s="312"/>
      <c r="R27" s="468">
        <v>302.7</v>
      </c>
      <c r="S27" s="312"/>
      <c r="T27" s="468">
        <v>0.81</v>
      </c>
      <c r="U27" s="312"/>
      <c r="V27" s="468">
        <v>0.8</v>
      </c>
      <c r="W27" s="312"/>
      <c r="X27" s="468">
        <v>-816.96</v>
      </c>
      <c r="Y27" s="312"/>
      <c r="Z27" s="468">
        <v>-446.3</v>
      </c>
      <c r="AA27" s="312"/>
      <c r="AB27" s="468">
        <v>0.87</v>
      </c>
      <c r="AC27" s="312"/>
      <c r="AD27" s="468">
        <v>-279.52999999999997</v>
      </c>
      <c r="AE27" s="312"/>
      <c r="AF27" s="468">
        <f t="shared" si="1"/>
        <v>153.19</v>
      </c>
    </row>
    <row r="28" spans="1:32" x14ac:dyDescent="0.25">
      <c r="A28" s="485"/>
      <c r="B28" s="485"/>
      <c r="C28" s="485"/>
      <c r="D28" s="485"/>
      <c r="E28" s="485" t="s">
        <v>402</v>
      </c>
      <c r="F28" s="485"/>
      <c r="G28" s="485"/>
      <c r="H28" s="468"/>
      <c r="I28" s="312"/>
      <c r="J28" s="468"/>
      <c r="K28" s="312"/>
      <c r="L28" s="468"/>
      <c r="M28" s="312"/>
      <c r="N28" s="468"/>
      <c r="O28" s="312"/>
      <c r="P28" s="468"/>
      <c r="Q28" s="312"/>
      <c r="R28" s="468"/>
      <c r="S28" s="312"/>
      <c r="T28" s="468"/>
      <c r="U28" s="312"/>
      <c r="V28" s="468"/>
      <c r="W28" s="312"/>
      <c r="X28" s="468"/>
      <c r="Y28" s="312"/>
      <c r="Z28" s="468"/>
      <c r="AA28" s="312"/>
      <c r="AB28" s="468"/>
      <c r="AC28" s="312"/>
      <c r="AD28" s="468"/>
      <c r="AE28" s="312"/>
      <c r="AF28" s="468"/>
    </row>
    <row r="29" spans="1:32" x14ac:dyDescent="0.25">
      <c r="A29" s="485"/>
      <c r="B29" s="485"/>
      <c r="C29" s="485"/>
      <c r="D29" s="485"/>
      <c r="E29" s="485"/>
      <c r="F29" s="485" t="s">
        <v>414</v>
      </c>
      <c r="G29" s="485"/>
      <c r="H29" s="468">
        <v>-46.17</v>
      </c>
      <c r="I29" s="312"/>
      <c r="J29" s="468">
        <v>0</v>
      </c>
      <c r="K29" s="312"/>
      <c r="L29" s="468">
        <v>0</v>
      </c>
      <c r="M29" s="312"/>
      <c r="N29" s="468">
        <v>0</v>
      </c>
      <c r="O29" s="312"/>
      <c r="P29" s="468">
        <v>0</v>
      </c>
      <c r="Q29" s="312"/>
      <c r="R29" s="468">
        <v>0</v>
      </c>
      <c r="S29" s="312"/>
      <c r="T29" s="468">
        <v>0</v>
      </c>
      <c r="U29" s="312"/>
      <c r="V29" s="468">
        <v>0</v>
      </c>
      <c r="W29" s="312"/>
      <c r="X29" s="468">
        <v>0</v>
      </c>
      <c r="Y29" s="312"/>
      <c r="Z29" s="468">
        <v>0</v>
      </c>
      <c r="AA29" s="312"/>
      <c r="AB29" s="468">
        <v>0</v>
      </c>
      <c r="AC29" s="312"/>
      <c r="AD29" s="468">
        <v>0</v>
      </c>
      <c r="AE29" s="312"/>
      <c r="AF29" s="468">
        <f>ROUND(SUM(H29:AD29),5)</f>
        <v>-46.17</v>
      </c>
    </row>
    <row r="30" spans="1:32" ht="15.75" thickBot="1" x14ac:dyDescent="0.3">
      <c r="A30" s="485"/>
      <c r="B30" s="485"/>
      <c r="C30" s="485"/>
      <c r="D30" s="485"/>
      <c r="E30" s="485"/>
      <c r="F30" s="485" t="s">
        <v>415</v>
      </c>
      <c r="G30" s="485"/>
      <c r="H30" s="467">
        <v>0</v>
      </c>
      <c r="I30" s="312"/>
      <c r="J30" s="467">
        <v>0</v>
      </c>
      <c r="K30" s="312"/>
      <c r="L30" s="467">
        <v>0</v>
      </c>
      <c r="M30" s="312"/>
      <c r="N30" s="467">
        <v>0</v>
      </c>
      <c r="O30" s="312"/>
      <c r="P30" s="467">
        <v>172.06</v>
      </c>
      <c r="Q30" s="312"/>
      <c r="R30" s="467">
        <v>0</v>
      </c>
      <c r="S30" s="312"/>
      <c r="T30" s="467">
        <v>0</v>
      </c>
      <c r="U30" s="312"/>
      <c r="V30" s="467">
        <v>0</v>
      </c>
      <c r="W30" s="312"/>
      <c r="X30" s="467">
        <v>0</v>
      </c>
      <c r="Y30" s="312"/>
      <c r="Z30" s="467">
        <v>0</v>
      </c>
      <c r="AA30" s="312"/>
      <c r="AB30" s="467">
        <v>0</v>
      </c>
      <c r="AC30" s="312"/>
      <c r="AD30" s="467">
        <v>0</v>
      </c>
      <c r="AE30" s="312"/>
      <c r="AF30" s="467">
        <f>ROUND(SUM(H30:AD30),5)</f>
        <v>172.06</v>
      </c>
    </row>
    <row r="31" spans="1:32" ht="15.75" thickBot="1" x14ac:dyDescent="0.3">
      <c r="A31" s="485"/>
      <c r="B31" s="485"/>
      <c r="C31" s="485"/>
      <c r="D31" s="485"/>
      <c r="E31" s="485" t="s">
        <v>416</v>
      </c>
      <c r="F31" s="485"/>
      <c r="G31" s="485"/>
      <c r="H31" s="314">
        <f>ROUND(SUM(H28:H30),5)</f>
        <v>-46.17</v>
      </c>
      <c r="I31" s="312"/>
      <c r="J31" s="314">
        <f>ROUND(SUM(J28:J30),5)</f>
        <v>0</v>
      </c>
      <c r="K31" s="312"/>
      <c r="L31" s="314">
        <f>ROUND(SUM(L28:L30),5)</f>
        <v>0</v>
      </c>
      <c r="M31" s="312"/>
      <c r="N31" s="314">
        <f>ROUND(SUM(N28:N30),5)</f>
        <v>0</v>
      </c>
      <c r="O31" s="312"/>
      <c r="P31" s="314">
        <f>ROUND(SUM(P28:P30),5)</f>
        <v>172.06</v>
      </c>
      <c r="Q31" s="312"/>
      <c r="R31" s="314">
        <f>ROUND(SUM(R28:R30),5)</f>
        <v>0</v>
      </c>
      <c r="S31" s="312"/>
      <c r="T31" s="314">
        <f>ROUND(SUM(T28:T30),5)</f>
        <v>0</v>
      </c>
      <c r="U31" s="312"/>
      <c r="V31" s="314">
        <f>ROUND(SUM(V28:V30),5)</f>
        <v>0</v>
      </c>
      <c r="W31" s="312"/>
      <c r="X31" s="314">
        <f>ROUND(SUM(X28:X30),5)</f>
        <v>0</v>
      </c>
      <c r="Y31" s="312"/>
      <c r="Z31" s="314">
        <f>ROUND(SUM(Z28:Z30),5)</f>
        <v>0</v>
      </c>
      <c r="AA31" s="312"/>
      <c r="AB31" s="314">
        <f>ROUND(SUM(AB28:AB30),5)</f>
        <v>0</v>
      </c>
      <c r="AC31" s="312"/>
      <c r="AD31" s="314">
        <f>ROUND(SUM(AD28:AD30),5)</f>
        <v>0</v>
      </c>
      <c r="AE31" s="312"/>
      <c r="AF31" s="314">
        <f>ROUND(SUM(H31:AD31),5)</f>
        <v>125.89</v>
      </c>
    </row>
    <row r="32" spans="1:32" x14ac:dyDescent="0.25">
      <c r="A32" s="485"/>
      <c r="B32" s="485"/>
      <c r="C32" s="485"/>
      <c r="D32" s="485" t="s">
        <v>9</v>
      </c>
      <c r="E32" s="485"/>
      <c r="F32" s="485"/>
      <c r="G32" s="485"/>
      <c r="H32" s="468">
        <f>ROUND(H6+H19+SUM(H25:H27)+H31,5)</f>
        <v>21605.05</v>
      </c>
      <c r="I32" s="312"/>
      <c r="J32" s="468">
        <f>ROUND(J6+J19+SUM(J25:J27)+J31,5)</f>
        <v>13617.44</v>
      </c>
      <c r="K32" s="312"/>
      <c r="L32" s="468">
        <f>ROUND(L6+L19+SUM(L25:L27)+L31,5)</f>
        <v>9000.19</v>
      </c>
      <c r="M32" s="312"/>
      <c r="N32" s="468">
        <f>ROUND(N6+N19+SUM(N25:N27)+N31,5)</f>
        <v>18510.490000000002</v>
      </c>
      <c r="O32" s="312"/>
      <c r="P32" s="468">
        <f>ROUND(P6+P19+SUM(P25:P27)+P31,5)</f>
        <v>7284.88</v>
      </c>
      <c r="Q32" s="312"/>
      <c r="R32" s="468">
        <f>ROUND(R6+R19+SUM(R25:R27)+R31,5)</f>
        <v>13825.37</v>
      </c>
      <c r="S32" s="312"/>
      <c r="T32" s="468">
        <f>ROUND(T6+T19+SUM(T25:T27)+T31,5)</f>
        <v>51440.03</v>
      </c>
      <c r="U32" s="312"/>
      <c r="V32" s="468">
        <f>ROUND(V6+V19+SUM(V25:V27)+V31,5)</f>
        <v>105453.91</v>
      </c>
      <c r="W32" s="312"/>
      <c r="X32" s="468">
        <f>ROUND(X6+X19+SUM(X25:X27)+X31,5)</f>
        <v>38649.54</v>
      </c>
      <c r="Y32" s="312"/>
      <c r="Z32" s="468">
        <f>ROUND(Z6+Z19+SUM(Z25:Z27)+Z31,5)</f>
        <v>16136.16</v>
      </c>
      <c r="AA32" s="312"/>
      <c r="AB32" s="468">
        <f>ROUND(AB6+AB19+SUM(AB25:AB27)+AB31,5)</f>
        <v>48693.04</v>
      </c>
      <c r="AC32" s="312"/>
      <c r="AD32" s="468">
        <f>ROUND(AD6+AD19+SUM(AD25:AD27)+AD31,5)</f>
        <v>28956.21</v>
      </c>
      <c r="AE32" s="312"/>
      <c r="AF32" s="468">
        <f>ROUND(SUM(H32:AD32),5)</f>
        <v>373172.31</v>
      </c>
    </row>
    <row r="33" spans="1:32" x14ac:dyDescent="0.25">
      <c r="A33" s="485"/>
      <c r="B33" s="485"/>
      <c r="C33" s="485"/>
      <c r="D33" s="485" t="s">
        <v>164</v>
      </c>
      <c r="E33" s="485"/>
      <c r="F33" s="485"/>
      <c r="G33" s="485"/>
      <c r="H33" s="468"/>
      <c r="I33" s="312"/>
      <c r="J33" s="468"/>
      <c r="K33" s="312"/>
      <c r="L33" s="468"/>
      <c r="M33" s="312"/>
      <c r="N33" s="468"/>
      <c r="O33" s="312"/>
      <c r="P33" s="468"/>
      <c r="Q33" s="312"/>
      <c r="R33" s="468"/>
      <c r="S33" s="312"/>
      <c r="T33" s="468"/>
      <c r="U33" s="312"/>
      <c r="V33" s="468"/>
      <c r="W33" s="312"/>
      <c r="X33" s="468"/>
      <c r="Y33" s="312"/>
      <c r="Z33" s="468"/>
      <c r="AA33" s="312"/>
      <c r="AB33" s="468"/>
      <c r="AC33" s="312"/>
      <c r="AD33" s="468"/>
      <c r="AE33" s="312"/>
      <c r="AF33" s="468"/>
    </row>
    <row r="34" spans="1:32" ht="15.75" thickBot="1" x14ac:dyDescent="0.3">
      <c r="A34" s="485"/>
      <c r="B34" s="485"/>
      <c r="C34" s="485"/>
      <c r="D34" s="485"/>
      <c r="E34" s="485" t="s">
        <v>165</v>
      </c>
      <c r="F34" s="485"/>
      <c r="G34" s="485"/>
      <c r="H34" s="467">
        <v>0</v>
      </c>
      <c r="I34" s="312"/>
      <c r="J34" s="467">
        <v>0</v>
      </c>
      <c r="K34" s="312"/>
      <c r="L34" s="467">
        <v>381.44</v>
      </c>
      <c r="M34" s="312"/>
      <c r="N34" s="467">
        <v>272.73</v>
      </c>
      <c r="O34" s="312"/>
      <c r="P34" s="467">
        <v>0</v>
      </c>
      <c r="Q34" s="312"/>
      <c r="R34" s="467">
        <v>1207.0899999999999</v>
      </c>
      <c r="S34" s="312"/>
      <c r="T34" s="467">
        <v>1296.9000000000001</v>
      </c>
      <c r="U34" s="312"/>
      <c r="V34" s="467">
        <v>0</v>
      </c>
      <c r="W34" s="312"/>
      <c r="X34" s="467">
        <v>0</v>
      </c>
      <c r="Y34" s="312"/>
      <c r="Z34" s="467">
        <v>0</v>
      </c>
      <c r="AA34" s="312"/>
      <c r="AB34" s="467">
        <v>0</v>
      </c>
      <c r="AC34" s="312"/>
      <c r="AD34" s="467">
        <v>0</v>
      </c>
      <c r="AE34" s="312"/>
      <c r="AF34" s="467">
        <f>ROUND(SUM(H34:AD34),5)</f>
        <v>3158.16</v>
      </c>
    </row>
    <row r="35" spans="1:32" ht="15.75" thickBot="1" x14ac:dyDescent="0.3">
      <c r="A35" s="485"/>
      <c r="B35" s="485"/>
      <c r="C35" s="485"/>
      <c r="D35" s="485" t="s">
        <v>166</v>
      </c>
      <c r="E35" s="485"/>
      <c r="F35" s="485"/>
      <c r="G35" s="485"/>
      <c r="H35" s="314">
        <f>ROUND(SUM(H33:H34),5)</f>
        <v>0</v>
      </c>
      <c r="I35" s="312"/>
      <c r="J35" s="314">
        <f>ROUND(SUM(J33:J34),5)</f>
        <v>0</v>
      </c>
      <c r="K35" s="312"/>
      <c r="L35" s="314">
        <f>ROUND(SUM(L33:L34),5)</f>
        <v>381.44</v>
      </c>
      <c r="M35" s="312"/>
      <c r="N35" s="314">
        <f>ROUND(SUM(N33:N34),5)</f>
        <v>272.73</v>
      </c>
      <c r="O35" s="312"/>
      <c r="P35" s="314">
        <f>ROUND(SUM(P33:P34),5)</f>
        <v>0</v>
      </c>
      <c r="Q35" s="312"/>
      <c r="R35" s="314">
        <f>ROUND(SUM(R33:R34),5)</f>
        <v>1207.0899999999999</v>
      </c>
      <c r="S35" s="312"/>
      <c r="T35" s="314">
        <f>ROUND(SUM(T33:T34),5)</f>
        <v>1296.9000000000001</v>
      </c>
      <c r="U35" s="312"/>
      <c r="V35" s="314">
        <f>ROUND(SUM(V33:V34),5)</f>
        <v>0</v>
      </c>
      <c r="W35" s="312"/>
      <c r="X35" s="314">
        <f>ROUND(SUM(X33:X34),5)</f>
        <v>0</v>
      </c>
      <c r="Y35" s="312"/>
      <c r="Z35" s="314">
        <f>ROUND(SUM(Z33:Z34),5)</f>
        <v>0</v>
      </c>
      <c r="AA35" s="312"/>
      <c r="AB35" s="314">
        <f>ROUND(SUM(AB33:AB34),5)</f>
        <v>0</v>
      </c>
      <c r="AC35" s="312"/>
      <c r="AD35" s="314">
        <f>ROUND(SUM(AD33:AD34),5)</f>
        <v>0</v>
      </c>
      <c r="AE35" s="312"/>
      <c r="AF35" s="314">
        <f>ROUND(SUM(H35:AD35),5)</f>
        <v>3158.16</v>
      </c>
    </row>
    <row r="36" spans="1:32" x14ac:dyDescent="0.25">
      <c r="A36" s="485"/>
      <c r="B36" s="485"/>
      <c r="C36" s="485" t="s">
        <v>167</v>
      </c>
      <c r="D36" s="485"/>
      <c r="E36" s="485"/>
      <c r="F36" s="485"/>
      <c r="G36" s="485"/>
      <c r="H36" s="468">
        <f>ROUND(H32-H35,5)</f>
        <v>21605.05</v>
      </c>
      <c r="I36" s="312"/>
      <c r="J36" s="468">
        <f>ROUND(J32-J35,5)</f>
        <v>13617.44</v>
      </c>
      <c r="K36" s="312"/>
      <c r="L36" s="468">
        <f>ROUND(L32-L35,5)</f>
        <v>8618.75</v>
      </c>
      <c r="M36" s="312"/>
      <c r="N36" s="468">
        <f>ROUND(N32-N35,5)</f>
        <v>18237.759999999998</v>
      </c>
      <c r="O36" s="312"/>
      <c r="P36" s="468">
        <f>ROUND(P32-P35,5)</f>
        <v>7284.88</v>
      </c>
      <c r="Q36" s="312"/>
      <c r="R36" s="468">
        <f>ROUND(R32-R35,5)</f>
        <v>12618.28</v>
      </c>
      <c r="S36" s="312"/>
      <c r="T36" s="468">
        <f>ROUND(T32-T35,5)</f>
        <v>50143.13</v>
      </c>
      <c r="U36" s="312"/>
      <c r="V36" s="468">
        <f>ROUND(V32-V35,5)</f>
        <v>105453.91</v>
      </c>
      <c r="W36" s="312"/>
      <c r="X36" s="468">
        <f>ROUND(X32-X35,5)</f>
        <v>38649.54</v>
      </c>
      <c r="Y36" s="312"/>
      <c r="Z36" s="468">
        <f>ROUND(Z32-Z35,5)</f>
        <v>16136.16</v>
      </c>
      <c r="AA36" s="312"/>
      <c r="AB36" s="468">
        <f>ROUND(AB32-AB35,5)</f>
        <v>48693.04</v>
      </c>
      <c r="AC36" s="312"/>
      <c r="AD36" s="468">
        <f>ROUND(AD32-AD35,5)</f>
        <v>28956.21</v>
      </c>
      <c r="AE36" s="312"/>
      <c r="AF36" s="468">
        <f>ROUND(SUM(H36:AD36),5)</f>
        <v>370014.15</v>
      </c>
    </row>
    <row r="37" spans="1:32" x14ac:dyDescent="0.25">
      <c r="A37" s="485"/>
      <c r="B37" s="485"/>
      <c r="C37" s="485"/>
      <c r="D37" s="485" t="s">
        <v>168</v>
      </c>
      <c r="E37" s="485"/>
      <c r="F37" s="485"/>
      <c r="G37" s="485"/>
      <c r="H37" s="468"/>
      <c r="I37" s="312"/>
      <c r="J37" s="468"/>
      <c r="K37" s="312"/>
      <c r="L37" s="468"/>
      <c r="M37" s="312"/>
      <c r="N37" s="468"/>
      <c r="O37" s="312"/>
      <c r="P37" s="468"/>
      <c r="Q37" s="312"/>
      <c r="R37" s="468"/>
      <c r="S37" s="312"/>
      <c r="T37" s="468"/>
      <c r="U37" s="312"/>
      <c r="V37" s="468"/>
      <c r="W37" s="312"/>
      <c r="X37" s="468"/>
      <c r="Y37" s="312"/>
      <c r="Z37" s="468"/>
      <c r="AA37" s="312"/>
      <c r="AB37" s="468"/>
      <c r="AC37" s="312"/>
      <c r="AD37" s="468"/>
      <c r="AE37" s="312"/>
      <c r="AF37" s="468"/>
    </row>
    <row r="38" spans="1:32" x14ac:dyDescent="0.25">
      <c r="A38" s="485"/>
      <c r="B38" s="485"/>
      <c r="C38" s="485"/>
      <c r="D38" s="485"/>
      <c r="E38" s="485" t="s">
        <v>497</v>
      </c>
      <c r="F38" s="485"/>
      <c r="G38" s="485"/>
      <c r="H38" s="468">
        <v>0</v>
      </c>
      <c r="I38" s="312"/>
      <c r="J38" s="468">
        <v>0</v>
      </c>
      <c r="K38" s="312"/>
      <c r="L38" s="468">
        <v>0</v>
      </c>
      <c r="M38" s="312"/>
      <c r="N38" s="468">
        <v>0</v>
      </c>
      <c r="O38" s="312"/>
      <c r="P38" s="468">
        <v>0</v>
      </c>
      <c r="Q38" s="312"/>
      <c r="R38" s="468">
        <v>0</v>
      </c>
      <c r="S38" s="312"/>
      <c r="T38" s="468">
        <v>0</v>
      </c>
      <c r="U38" s="312"/>
      <c r="V38" s="468">
        <v>0</v>
      </c>
      <c r="W38" s="312"/>
      <c r="X38" s="468">
        <v>0</v>
      </c>
      <c r="Y38" s="312"/>
      <c r="Z38" s="468">
        <v>0</v>
      </c>
      <c r="AA38" s="312"/>
      <c r="AB38" s="468">
        <v>11.86</v>
      </c>
      <c r="AC38" s="312"/>
      <c r="AD38" s="468">
        <v>44.49</v>
      </c>
      <c r="AE38" s="312"/>
      <c r="AF38" s="468">
        <f t="shared" ref="AF38:AF54" si="2">ROUND(SUM(H38:AD38),5)</f>
        <v>56.35</v>
      </c>
    </row>
    <row r="39" spans="1:32" x14ac:dyDescent="0.25">
      <c r="A39" s="485"/>
      <c r="B39" s="485"/>
      <c r="C39" s="485"/>
      <c r="D39" s="485"/>
      <c r="E39" s="485" t="s">
        <v>169</v>
      </c>
      <c r="F39" s="485"/>
      <c r="G39" s="485"/>
      <c r="H39" s="468">
        <v>23568.19</v>
      </c>
      <c r="I39" s="312"/>
      <c r="J39" s="468">
        <v>17104.57</v>
      </c>
      <c r="K39" s="312"/>
      <c r="L39" s="468">
        <v>18832.400000000001</v>
      </c>
      <c r="M39" s="312"/>
      <c r="N39" s="468">
        <v>19201.39</v>
      </c>
      <c r="O39" s="312"/>
      <c r="P39" s="468">
        <v>17980.95</v>
      </c>
      <c r="Q39" s="312"/>
      <c r="R39" s="468">
        <v>21893.21</v>
      </c>
      <c r="S39" s="312"/>
      <c r="T39" s="468">
        <v>25825.95</v>
      </c>
      <c r="U39" s="312"/>
      <c r="V39" s="468">
        <v>23137.5</v>
      </c>
      <c r="W39" s="312"/>
      <c r="X39" s="468">
        <v>22394.78</v>
      </c>
      <c r="Y39" s="312"/>
      <c r="Z39" s="468">
        <v>23450.85</v>
      </c>
      <c r="AA39" s="312"/>
      <c r="AB39" s="468">
        <v>31757.09</v>
      </c>
      <c r="AC39" s="312"/>
      <c r="AD39" s="468">
        <v>28712.42</v>
      </c>
      <c r="AE39" s="312"/>
      <c r="AF39" s="468">
        <f t="shared" si="2"/>
        <v>273859.3</v>
      </c>
    </row>
    <row r="40" spans="1:32" x14ac:dyDescent="0.25">
      <c r="A40" s="485"/>
      <c r="B40" s="485"/>
      <c r="C40" s="485"/>
      <c r="D40" s="485"/>
      <c r="E40" s="485" t="s">
        <v>403</v>
      </c>
      <c r="F40" s="485"/>
      <c r="G40" s="485"/>
      <c r="H40" s="468">
        <v>1634</v>
      </c>
      <c r="I40" s="312"/>
      <c r="J40" s="468">
        <v>1483.5</v>
      </c>
      <c r="K40" s="312"/>
      <c r="L40" s="468">
        <v>750</v>
      </c>
      <c r="M40" s="312"/>
      <c r="N40" s="468">
        <v>2098.75</v>
      </c>
      <c r="O40" s="312"/>
      <c r="P40" s="468">
        <v>1773.75</v>
      </c>
      <c r="Q40" s="312"/>
      <c r="R40" s="468">
        <v>999.75</v>
      </c>
      <c r="S40" s="312"/>
      <c r="T40" s="468">
        <v>0</v>
      </c>
      <c r="U40" s="312"/>
      <c r="V40" s="468">
        <v>0</v>
      </c>
      <c r="W40" s="312"/>
      <c r="X40" s="468">
        <v>1010.5</v>
      </c>
      <c r="Y40" s="312"/>
      <c r="Z40" s="468">
        <v>0</v>
      </c>
      <c r="AA40" s="312"/>
      <c r="AB40" s="468">
        <v>0</v>
      </c>
      <c r="AC40" s="312"/>
      <c r="AD40" s="468">
        <v>0</v>
      </c>
      <c r="AE40" s="312"/>
      <c r="AF40" s="468">
        <f t="shared" si="2"/>
        <v>9750.25</v>
      </c>
    </row>
    <row r="41" spans="1:32" x14ac:dyDescent="0.25">
      <c r="A41" s="485"/>
      <c r="B41" s="485"/>
      <c r="C41" s="485"/>
      <c r="D41" s="485"/>
      <c r="E41" s="485" t="s">
        <v>404</v>
      </c>
      <c r="F41" s="485"/>
      <c r="G41" s="485"/>
      <c r="H41" s="468">
        <v>284.73</v>
      </c>
      <c r="I41" s="312"/>
      <c r="J41" s="468">
        <v>142.91999999999999</v>
      </c>
      <c r="K41" s="312"/>
      <c r="L41" s="468">
        <v>261.8</v>
      </c>
      <c r="M41" s="312"/>
      <c r="N41" s="468">
        <v>167.7</v>
      </c>
      <c r="O41" s="312"/>
      <c r="P41" s="468">
        <v>107.5</v>
      </c>
      <c r="Q41" s="312"/>
      <c r="R41" s="468">
        <v>105.74</v>
      </c>
      <c r="S41" s="312"/>
      <c r="T41" s="468">
        <v>240.33</v>
      </c>
      <c r="U41" s="312"/>
      <c r="V41" s="468">
        <v>301.95</v>
      </c>
      <c r="W41" s="312"/>
      <c r="X41" s="468">
        <v>96.88</v>
      </c>
      <c r="Y41" s="312"/>
      <c r="Z41" s="468">
        <v>0</v>
      </c>
      <c r="AA41" s="312"/>
      <c r="AB41" s="468">
        <v>183.3</v>
      </c>
      <c r="AC41" s="312"/>
      <c r="AD41" s="468">
        <v>108.4</v>
      </c>
      <c r="AE41" s="312"/>
      <c r="AF41" s="468">
        <f t="shared" si="2"/>
        <v>2001.25</v>
      </c>
    </row>
    <row r="42" spans="1:32" x14ac:dyDescent="0.25">
      <c r="A42" s="485"/>
      <c r="B42" s="485"/>
      <c r="C42" s="485"/>
      <c r="D42" s="485"/>
      <c r="E42" s="485" t="s">
        <v>405</v>
      </c>
      <c r="F42" s="485"/>
      <c r="G42" s="485"/>
      <c r="H42" s="468">
        <v>87.58</v>
      </c>
      <c r="I42" s="312"/>
      <c r="J42" s="468">
        <v>0</v>
      </c>
      <c r="K42" s="312"/>
      <c r="L42" s="468">
        <v>0</v>
      </c>
      <c r="M42" s="312"/>
      <c r="N42" s="468">
        <v>0</v>
      </c>
      <c r="O42" s="312"/>
      <c r="P42" s="468">
        <v>0</v>
      </c>
      <c r="Q42" s="312"/>
      <c r="R42" s="468">
        <v>186.34</v>
      </c>
      <c r="S42" s="312"/>
      <c r="T42" s="468">
        <v>0</v>
      </c>
      <c r="U42" s="312"/>
      <c r="V42" s="468">
        <v>0</v>
      </c>
      <c r="W42" s="312"/>
      <c r="X42" s="468">
        <v>0</v>
      </c>
      <c r="Y42" s="312"/>
      <c r="Z42" s="468">
        <v>0</v>
      </c>
      <c r="AA42" s="312"/>
      <c r="AB42" s="468">
        <v>0</v>
      </c>
      <c r="AC42" s="312"/>
      <c r="AD42" s="468">
        <v>0</v>
      </c>
      <c r="AE42" s="312"/>
      <c r="AF42" s="468">
        <f t="shared" si="2"/>
        <v>273.92</v>
      </c>
    </row>
    <row r="43" spans="1:32" x14ac:dyDescent="0.25">
      <c r="A43" s="485"/>
      <c r="B43" s="485"/>
      <c r="C43" s="485"/>
      <c r="D43" s="485"/>
      <c r="E43" s="485" t="s">
        <v>173</v>
      </c>
      <c r="F43" s="485"/>
      <c r="G43" s="485"/>
      <c r="H43" s="468">
        <v>385.45</v>
      </c>
      <c r="I43" s="312"/>
      <c r="J43" s="468">
        <v>321.36</v>
      </c>
      <c r="K43" s="312"/>
      <c r="L43" s="468">
        <v>1240.54</v>
      </c>
      <c r="M43" s="312"/>
      <c r="N43" s="468">
        <v>173.19</v>
      </c>
      <c r="O43" s="312"/>
      <c r="P43" s="468">
        <v>166.03</v>
      </c>
      <c r="Q43" s="312"/>
      <c r="R43" s="468">
        <v>824.1</v>
      </c>
      <c r="S43" s="312"/>
      <c r="T43" s="468">
        <v>121.1</v>
      </c>
      <c r="U43" s="312"/>
      <c r="V43" s="468">
        <v>259.83999999999997</v>
      </c>
      <c r="W43" s="312"/>
      <c r="X43" s="468">
        <v>263.58999999999997</v>
      </c>
      <c r="Y43" s="312"/>
      <c r="Z43" s="468">
        <v>20.34</v>
      </c>
      <c r="AA43" s="312"/>
      <c r="AB43" s="468">
        <v>0</v>
      </c>
      <c r="AC43" s="312"/>
      <c r="AD43" s="468">
        <v>0</v>
      </c>
      <c r="AE43" s="312"/>
      <c r="AF43" s="468">
        <f t="shared" si="2"/>
        <v>3775.54</v>
      </c>
    </row>
    <row r="44" spans="1:32" x14ac:dyDescent="0.25">
      <c r="A44" s="485"/>
      <c r="B44" s="485"/>
      <c r="C44" s="485"/>
      <c r="D44" s="485"/>
      <c r="E44" s="485" t="s">
        <v>174</v>
      </c>
      <c r="F44" s="485"/>
      <c r="G44" s="485"/>
      <c r="H44" s="468">
        <v>456.6</v>
      </c>
      <c r="I44" s="312"/>
      <c r="J44" s="468">
        <v>328.75</v>
      </c>
      <c r="K44" s="312"/>
      <c r="L44" s="468">
        <v>328.8</v>
      </c>
      <c r="M44" s="312"/>
      <c r="N44" s="468">
        <v>445</v>
      </c>
      <c r="O44" s="312"/>
      <c r="P44" s="468">
        <v>329.79</v>
      </c>
      <c r="Q44" s="312"/>
      <c r="R44" s="468">
        <v>330.98</v>
      </c>
      <c r="S44" s="312"/>
      <c r="T44" s="468">
        <v>405.51</v>
      </c>
      <c r="U44" s="312"/>
      <c r="V44" s="468">
        <v>503.34</v>
      </c>
      <c r="W44" s="312"/>
      <c r="X44" s="468">
        <v>92.84</v>
      </c>
      <c r="Y44" s="312"/>
      <c r="Z44" s="468">
        <v>496.83</v>
      </c>
      <c r="AA44" s="312"/>
      <c r="AB44" s="468">
        <v>372.6</v>
      </c>
      <c r="AC44" s="312"/>
      <c r="AD44" s="468">
        <v>397.74</v>
      </c>
      <c r="AE44" s="312"/>
      <c r="AF44" s="468">
        <f t="shared" si="2"/>
        <v>4488.78</v>
      </c>
    </row>
    <row r="45" spans="1:32" x14ac:dyDescent="0.25">
      <c r="A45" s="485"/>
      <c r="B45" s="485"/>
      <c r="C45" s="485"/>
      <c r="D45" s="485"/>
      <c r="E45" s="485" t="s">
        <v>175</v>
      </c>
      <c r="F45" s="485"/>
      <c r="G45" s="485"/>
      <c r="H45" s="468">
        <v>370.79</v>
      </c>
      <c r="I45" s="312"/>
      <c r="J45" s="468">
        <v>0</v>
      </c>
      <c r="K45" s="312"/>
      <c r="L45" s="468">
        <v>96.05</v>
      </c>
      <c r="M45" s="312"/>
      <c r="N45" s="468">
        <v>204.54</v>
      </c>
      <c r="O45" s="312"/>
      <c r="P45" s="468">
        <v>96.05</v>
      </c>
      <c r="Q45" s="312"/>
      <c r="R45" s="468">
        <v>208.25</v>
      </c>
      <c r="S45" s="312"/>
      <c r="T45" s="468">
        <v>2542.1999999999998</v>
      </c>
      <c r="U45" s="312"/>
      <c r="V45" s="468">
        <v>703.6</v>
      </c>
      <c r="W45" s="312"/>
      <c r="X45" s="468">
        <v>1887.29</v>
      </c>
      <c r="Y45" s="312"/>
      <c r="Z45" s="468">
        <v>7.48</v>
      </c>
      <c r="AA45" s="312"/>
      <c r="AB45" s="468">
        <v>9.7799999999999994</v>
      </c>
      <c r="AC45" s="312"/>
      <c r="AD45" s="468">
        <v>0</v>
      </c>
      <c r="AE45" s="312"/>
      <c r="AF45" s="468">
        <f t="shared" si="2"/>
        <v>6126.03</v>
      </c>
    </row>
    <row r="46" spans="1:32" x14ac:dyDescent="0.25">
      <c r="A46" s="485"/>
      <c r="B46" s="485"/>
      <c r="C46" s="485"/>
      <c r="D46" s="485"/>
      <c r="E46" s="485" t="s">
        <v>176</v>
      </c>
      <c r="F46" s="485"/>
      <c r="G46" s="485"/>
      <c r="H46" s="468">
        <v>1365.24</v>
      </c>
      <c r="I46" s="312"/>
      <c r="J46" s="468">
        <v>1263.8499999999999</v>
      </c>
      <c r="K46" s="312"/>
      <c r="L46" s="468">
        <v>1263.8499999999999</v>
      </c>
      <c r="M46" s="312"/>
      <c r="N46" s="468">
        <v>1210.8699999999999</v>
      </c>
      <c r="O46" s="312"/>
      <c r="P46" s="468">
        <v>1210.8699999999999</v>
      </c>
      <c r="Q46" s="312"/>
      <c r="R46" s="468">
        <v>1210.8699999999999</v>
      </c>
      <c r="S46" s="312"/>
      <c r="T46" s="468">
        <v>1210.8699999999999</v>
      </c>
      <c r="U46" s="312"/>
      <c r="V46" s="468">
        <v>1081.77</v>
      </c>
      <c r="W46" s="312"/>
      <c r="X46" s="468">
        <v>1153.8900000000001</v>
      </c>
      <c r="Y46" s="312"/>
      <c r="Z46" s="468">
        <v>1153.8900000000001</v>
      </c>
      <c r="AA46" s="312"/>
      <c r="AB46" s="468">
        <v>1479.09</v>
      </c>
      <c r="AC46" s="312"/>
      <c r="AD46" s="468">
        <v>1515.92</v>
      </c>
      <c r="AE46" s="312"/>
      <c r="AF46" s="468">
        <f t="shared" si="2"/>
        <v>15120.98</v>
      </c>
    </row>
    <row r="47" spans="1:32" x14ac:dyDescent="0.25">
      <c r="A47" s="485"/>
      <c r="B47" s="485"/>
      <c r="C47" s="485"/>
      <c r="D47" s="485"/>
      <c r="E47" s="485" t="s">
        <v>177</v>
      </c>
      <c r="F47" s="485"/>
      <c r="G47" s="485"/>
      <c r="H47" s="468">
        <v>331.77</v>
      </c>
      <c r="I47" s="312"/>
      <c r="J47" s="468">
        <v>218.3</v>
      </c>
      <c r="K47" s="312"/>
      <c r="L47" s="468">
        <v>218.3</v>
      </c>
      <c r="M47" s="312"/>
      <c r="N47" s="468">
        <v>258.3</v>
      </c>
      <c r="O47" s="312"/>
      <c r="P47" s="468">
        <v>258.3</v>
      </c>
      <c r="Q47" s="312"/>
      <c r="R47" s="468">
        <v>258.3</v>
      </c>
      <c r="S47" s="312"/>
      <c r="T47" s="468">
        <v>436.6</v>
      </c>
      <c r="U47" s="312"/>
      <c r="V47" s="468">
        <v>189.04</v>
      </c>
      <c r="W47" s="312"/>
      <c r="X47" s="468">
        <v>189.05</v>
      </c>
      <c r="Y47" s="312"/>
      <c r="Z47" s="468">
        <v>189.05</v>
      </c>
      <c r="AA47" s="312"/>
      <c r="AB47" s="468">
        <v>247.12</v>
      </c>
      <c r="AC47" s="312"/>
      <c r="AD47" s="468">
        <v>260.35000000000002</v>
      </c>
      <c r="AE47" s="312"/>
      <c r="AF47" s="468">
        <f t="shared" si="2"/>
        <v>3054.48</v>
      </c>
    </row>
    <row r="48" spans="1:32" x14ac:dyDescent="0.25">
      <c r="A48" s="485"/>
      <c r="B48" s="485"/>
      <c r="C48" s="485"/>
      <c r="D48" s="485"/>
      <c r="E48" s="485" t="s">
        <v>406</v>
      </c>
      <c r="F48" s="485"/>
      <c r="G48" s="485"/>
      <c r="H48" s="468">
        <v>880.6</v>
      </c>
      <c r="I48" s="312"/>
      <c r="J48" s="468">
        <v>100.87</v>
      </c>
      <c r="K48" s="312"/>
      <c r="L48" s="468">
        <v>66.23</v>
      </c>
      <c r="M48" s="312"/>
      <c r="N48" s="468">
        <v>133.77000000000001</v>
      </c>
      <c r="O48" s="312"/>
      <c r="P48" s="468">
        <v>97.88</v>
      </c>
      <c r="Q48" s="312"/>
      <c r="R48" s="468">
        <v>13.61</v>
      </c>
      <c r="S48" s="312"/>
      <c r="T48" s="468">
        <v>1430.2</v>
      </c>
      <c r="U48" s="312"/>
      <c r="V48" s="468">
        <v>1116.5</v>
      </c>
      <c r="W48" s="312"/>
      <c r="X48" s="468">
        <v>0</v>
      </c>
      <c r="Y48" s="312"/>
      <c r="Z48" s="468">
        <v>0</v>
      </c>
      <c r="AA48" s="312"/>
      <c r="AB48" s="468">
        <v>1454.91</v>
      </c>
      <c r="AC48" s="312"/>
      <c r="AD48" s="468">
        <v>44.75</v>
      </c>
      <c r="AE48" s="312"/>
      <c r="AF48" s="468">
        <f t="shared" si="2"/>
        <v>5339.32</v>
      </c>
    </row>
    <row r="49" spans="1:32" x14ac:dyDescent="0.25">
      <c r="A49" s="485"/>
      <c r="B49" s="485"/>
      <c r="C49" s="485"/>
      <c r="D49" s="485"/>
      <c r="E49" s="485" t="s">
        <v>407</v>
      </c>
      <c r="F49" s="485"/>
      <c r="G49" s="485"/>
      <c r="H49" s="468">
        <v>2052.4699999999998</v>
      </c>
      <c r="I49" s="312"/>
      <c r="J49" s="468">
        <v>644.33000000000004</v>
      </c>
      <c r="K49" s="312"/>
      <c r="L49" s="468">
        <v>3509.61</v>
      </c>
      <c r="M49" s="312"/>
      <c r="N49" s="468">
        <v>1870.83</v>
      </c>
      <c r="O49" s="312"/>
      <c r="P49" s="468">
        <v>2426.2600000000002</v>
      </c>
      <c r="Q49" s="312"/>
      <c r="R49" s="468">
        <v>797.97</v>
      </c>
      <c r="S49" s="312"/>
      <c r="T49" s="468">
        <v>302.38</v>
      </c>
      <c r="U49" s="312"/>
      <c r="V49" s="468">
        <v>1858.85</v>
      </c>
      <c r="W49" s="312"/>
      <c r="X49" s="468">
        <v>2070.44</v>
      </c>
      <c r="Y49" s="312"/>
      <c r="Z49" s="468">
        <v>-463.98</v>
      </c>
      <c r="AA49" s="312"/>
      <c r="AB49" s="468">
        <v>0</v>
      </c>
      <c r="AC49" s="312"/>
      <c r="AD49" s="468">
        <v>0</v>
      </c>
      <c r="AE49" s="312"/>
      <c r="AF49" s="468">
        <f t="shared" si="2"/>
        <v>15069.16</v>
      </c>
    </row>
    <row r="50" spans="1:32" x14ac:dyDescent="0.25">
      <c r="A50" s="485"/>
      <c r="B50" s="485"/>
      <c r="C50" s="485"/>
      <c r="D50" s="485"/>
      <c r="E50" s="485" t="s">
        <v>181</v>
      </c>
      <c r="F50" s="485"/>
      <c r="G50" s="485"/>
      <c r="H50" s="468">
        <v>595.1</v>
      </c>
      <c r="I50" s="312"/>
      <c r="J50" s="468">
        <v>711.58</v>
      </c>
      <c r="K50" s="312"/>
      <c r="L50" s="468">
        <v>711.58</v>
      </c>
      <c r="M50" s="312"/>
      <c r="N50" s="468">
        <v>711.58</v>
      </c>
      <c r="O50" s="312"/>
      <c r="P50" s="468">
        <v>711.58</v>
      </c>
      <c r="Q50" s="312"/>
      <c r="R50" s="468">
        <v>711.58</v>
      </c>
      <c r="S50" s="312"/>
      <c r="T50" s="468">
        <v>711.58</v>
      </c>
      <c r="U50" s="312"/>
      <c r="V50" s="468">
        <v>0</v>
      </c>
      <c r="W50" s="312"/>
      <c r="X50" s="468">
        <v>1280.21</v>
      </c>
      <c r="Y50" s="312"/>
      <c r="Z50" s="468">
        <v>701.94</v>
      </c>
      <c r="AA50" s="312"/>
      <c r="AB50" s="468">
        <v>701.94</v>
      </c>
      <c r="AC50" s="312"/>
      <c r="AD50" s="468">
        <v>701.94</v>
      </c>
      <c r="AE50" s="312"/>
      <c r="AF50" s="468">
        <f t="shared" si="2"/>
        <v>8250.61</v>
      </c>
    </row>
    <row r="51" spans="1:32" x14ac:dyDescent="0.25">
      <c r="A51" s="485"/>
      <c r="B51" s="485"/>
      <c r="C51" s="485"/>
      <c r="D51" s="485"/>
      <c r="E51" s="485" t="s">
        <v>183</v>
      </c>
      <c r="F51" s="485"/>
      <c r="G51" s="485"/>
      <c r="H51" s="468">
        <v>128.5</v>
      </c>
      <c r="I51" s="312"/>
      <c r="J51" s="468">
        <v>803.6</v>
      </c>
      <c r="K51" s="312"/>
      <c r="L51" s="468">
        <v>870.19</v>
      </c>
      <c r="M51" s="312"/>
      <c r="N51" s="468">
        <v>844.33</v>
      </c>
      <c r="O51" s="312"/>
      <c r="P51" s="468">
        <v>1742.03</v>
      </c>
      <c r="Q51" s="312"/>
      <c r="R51" s="468">
        <v>821.17</v>
      </c>
      <c r="S51" s="312"/>
      <c r="T51" s="468">
        <v>2538.0500000000002</v>
      </c>
      <c r="U51" s="312"/>
      <c r="V51" s="468">
        <v>1304.82</v>
      </c>
      <c r="W51" s="312"/>
      <c r="X51" s="468">
        <v>1276.51</v>
      </c>
      <c r="Y51" s="312"/>
      <c r="Z51" s="468">
        <v>-414.61</v>
      </c>
      <c r="AA51" s="312"/>
      <c r="AB51" s="468">
        <v>963.71</v>
      </c>
      <c r="AC51" s="312"/>
      <c r="AD51" s="468">
        <v>820.04</v>
      </c>
      <c r="AE51" s="312"/>
      <c r="AF51" s="468">
        <f t="shared" si="2"/>
        <v>11698.34</v>
      </c>
    </row>
    <row r="52" spans="1:32" ht="15.75" thickBot="1" x14ac:dyDescent="0.3">
      <c r="A52" s="485"/>
      <c r="B52" s="485"/>
      <c r="C52" s="485"/>
      <c r="D52" s="485"/>
      <c r="E52" s="485" t="s">
        <v>184</v>
      </c>
      <c r="F52" s="485"/>
      <c r="G52" s="485"/>
      <c r="H52" s="467">
        <v>8676.17</v>
      </c>
      <c r="I52" s="312"/>
      <c r="J52" s="467">
        <v>10592.73</v>
      </c>
      <c r="K52" s="312"/>
      <c r="L52" s="467">
        <v>12327.47</v>
      </c>
      <c r="M52" s="312"/>
      <c r="N52" s="467">
        <v>11666.71</v>
      </c>
      <c r="O52" s="312"/>
      <c r="P52" s="467">
        <v>12118.58</v>
      </c>
      <c r="Q52" s="312"/>
      <c r="R52" s="467">
        <v>7668.21</v>
      </c>
      <c r="S52" s="312"/>
      <c r="T52" s="467">
        <v>7097.34</v>
      </c>
      <c r="U52" s="312"/>
      <c r="V52" s="467">
        <v>11019.21</v>
      </c>
      <c r="W52" s="312"/>
      <c r="X52" s="467">
        <v>4497.5</v>
      </c>
      <c r="Y52" s="312"/>
      <c r="Z52" s="467">
        <v>4742.8100000000004</v>
      </c>
      <c r="AA52" s="312"/>
      <c r="AB52" s="467">
        <v>2330.6999999999998</v>
      </c>
      <c r="AC52" s="312"/>
      <c r="AD52" s="467">
        <v>55</v>
      </c>
      <c r="AE52" s="312"/>
      <c r="AF52" s="467">
        <f t="shared" si="2"/>
        <v>92792.43</v>
      </c>
    </row>
    <row r="53" spans="1:32" ht="15.75" thickBot="1" x14ac:dyDescent="0.3">
      <c r="A53" s="485"/>
      <c r="B53" s="485"/>
      <c r="C53" s="485"/>
      <c r="D53" s="485" t="s">
        <v>73</v>
      </c>
      <c r="E53" s="485"/>
      <c r="F53" s="485"/>
      <c r="G53" s="485"/>
      <c r="H53" s="314">
        <f>ROUND(SUM(H37:H52),5)</f>
        <v>40817.19</v>
      </c>
      <c r="I53" s="312"/>
      <c r="J53" s="314">
        <f>ROUND(SUM(J37:J52),5)</f>
        <v>33716.36</v>
      </c>
      <c r="K53" s="312"/>
      <c r="L53" s="314">
        <f>ROUND(SUM(L37:L52),5)</f>
        <v>40476.82</v>
      </c>
      <c r="M53" s="312"/>
      <c r="N53" s="314">
        <f>ROUND(SUM(N37:N52),5)</f>
        <v>38986.959999999999</v>
      </c>
      <c r="O53" s="312"/>
      <c r="P53" s="314">
        <f>ROUND(SUM(P37:P52),5)</f>
        <v>39019.57</v>
      </c>
      <c r="Q53" s="312"/>
      <c r="R53" s="314">
        <f>ROUND(SUM(R37:R52),5)</f>
        <v>36030.080000000002</v>
      </c>
      <c r="S53" s="312"/>
      <c r="T53" s="314">
        <f>ROUND(SUM(T37:T52),5)</f>
        <v>42862.11</v>
      </c>
      <c r="U53" s="312"/>
      <c r="V53" s="314">
        <f>ROUND(SUM(V37:V52),5)</f>
        <v>41476.42</v>
      </c>
      <c r="W53" s="312"/>
      <c r="X53" s="314">
        <f>ROUND(SUM(X37:X52),5)</f>
        <v>36213.480000000003</v>
      </c>
      <c r="Y53" s="312"/>
      <c r="Z53" s="314">
        <f>ROUND(SUM(Z37:Z52),5)</f>
        <v>29884.6</v>
      </c>
      <c r="AA53" s="312"/>
      <c r="AB53" s="314">
        <f>ROUND(SUM(AB37:AB52),5)</f>
        <v>39512.1</v>
      </c>
      <c r="AC53" s="312"/>
      <c r="AD53" s="314">
        <f>ROUND(SUM(AD37:AD52),5)</f>
        <v>32661.05</v>
      </c>
      <c r="AE53" s="312"/>
      <c r="AF53" s="314">
        <f t="shared" si="2"/>
        <v>451656.74</v>
      </c>
    </row>
    <row r="54" spans="1:32" x14ac:dyDescent="0.25">
      <c r="A54" s="485"/>
      <c r="B54" s="485" t="s">
        <v>186</v>
      </c>
      <c r="C54" s="485"/>
      <c r="D54" s="485"/>
      <c r="E54" s="485"/>
      <c r="F54" s="485"/>
      <c r="G54" s="485"/>
      <c r="H54" s="468">
        <f>ROUND(H5+H36-H53,5)</f>
        <v>-19212.14</v>
      </c>
      <c r="I54" s="312"/>
      <c r="J54" s="468">
        <f>ROUND(J5+J36-J53,5)</f>
        <v>-20098.919999999998</v>
      </c>
      <c r="K54" s="312"/>
      <c r="L54" s="468">
        <f>ROUND(L5+L36-L53,5)</f>
        <v>-31858.07</v>
      </c>
      <c r="M54" s="312"/>
      <c r="N54" s="468">
        <f>ROUND(N5+N36-N53,5)</f>
        <v>-20749.2</v>
      </c>
      <c r="O54" s="312"/>
      <c r="P54" s="468">
        <f>ROUND(P5+P36-P53,5)</f>
        <v>-31734.69</v>
      </c>
      <c r="Q54" s="312"/>
      <c r="R54" s="468">
        <f>ROUND(R5+R36-R53,5)</f>
        <v>-23411.8</v>
      </c>
      <c r="S54" s="312"/>
      <c r="T54" s="468">
        <f>ROUND(T5+T36-T53,5)</f>
        <v>7281.02</v>
      </c>
      <c r="U54" s="312"/>
      <c r="V54" s="468">
        <f>ROUND(V5+V36-V53,5)</f>
        <v>63977.49</v>
      </c>
      <c r="W54" s="312"/>
      <c r="X54" s="468">
        <f>ROUND(X5+X36-X53,5)</f>
        <v>2436.06</v>
      </c>
      <c r="Y54" s="312"/>
      <c r="Z54" s="468">
        <f>ROUND(Z5+Z36-Z53,5)</f>
        <v>-13748.44</v>
      </c>
      <c r="AA54" s="312"/>
      <c r="AB54" s="468">
        <f>ROUND(AB5+AB36-AB53,5)</f>
        <v>9180.94</v>
      </c>
      <c r="AC54" s="312"/>
      <c r="AD54" s="468">
        <f>ROUND(AD5+AD36-AD53,5)</f>
        <v>-3704.84</v>
      </c>
      <c r="AE54" s="312"/>
      <c r="AF54" s="468">
        <f t="shared" si="2"/>
        <v>-81642.59</v>
      </c>
    </row>
    <row r="55" spans="1:32" x14ac:dyDescent="0.25">
      <c r="A55" s="485"/>
      <c r="B55" s="485" t="s">
        <v>223</v>
      </c>
      <c r="C55" s="485"/>
      <c r="D55" s="485"/>
      <c r="E55" s="485"/>
      <c r="F55" s="485"/>
      <c r="G55" s="485"/>
      <c r="H55" s="468"/>
      <c r="I55" s="312"/>
      <c r="J55" s="468"/>
      <c r="K55" s="312"/>
      <c r="L55" s="468"/>
      <c r="M55" s="312"/>
      <c r="N55" s="468"/>
      <c r="O55" s="312"/>
      <c r="P55" s="468"/>
      <c r="Q55" s="312"/>
      <c r="R55" s="468"/>
      <c r="S55" s="312"/>
      <c r="T55" s="468"/>
      <c r="U55" s="312"/>
      <c r="V55" s="468"/>
      <c r="W55" s="312"/>
      <c r="X55" s="468"/>
      <c r="Y55" s="312"/>
      <c r="Z55" s="468"/>
      <c r="AA55" s="312"/>
      <c r="AB55" s="468"/>
      <c r="AC55" s="312"/>
      <c r="AD55" s="468"/>
      <c r="AE55" s="312"/>
      <c r="AF55" s="468"/>
    </row>
    <row r="56" spans="1:32" x14ac:dyDescent="0.25">
      <c r="A56" s="485"/>
      <c r="B56" s="485"/>
      <c r="C56" s="485" t="s">
        <v>417</v>
      </c>
      <c r="D56" s="485"/>
      <c r="E56" s="485"/>
      <c r="F56" s="485"/>
      <c r="G56" s="485"/>
      <c r="H56" s="468"/>
      <c r="I56" s="312"/>
      <c r="J56" s="468"/>
      <c r="K56" s="312"/>
      <c r="L56" s="468"/>
      <c r="M56" s="312"/>
      <c r="N56" s="468"/>
      <c r="O56" s="312"/>
      <c r="P56" s="468"/>
      <c r="Q56" s="312"/>
      <c r="R56" s="468"/>
      <c r="S56" s="312"/>
      <c r="T56" s="468"/>
      <c r="U56" s="312"/>
      <c r="V56" s="468"/>
      <c r="W56" s="312"/>
      <c r="X56" s="468"/>
      <c r="Y56" s="312"/>
      <c r="Z56" s="468"/>
      <c r="AA56" s="312"/>
      <c r="AB56" s="468"/>
      <c r="AC56" s="312"/>
      <c r="AD56" s="468"/>
      <c r="AE56" s="312"/>
      <c r="AF56" s="468"/>
    </row>
    <row r="57" spans="1:32" ht="15.75" thickBot="1" x14ac:dyDescent="0.3">
      <c r="A57" s="485"/>
      <c r="B57" s="485"/>
      <c r="C57" s="485"/>
      <c r="D57" s="485" t="s">
        <v>418</v>
      </c>
      <c r="E57" s="485"/>
      <c r="F57" s="485"/>
      <c r="G57" s="485"/>
      <c r="H57" s="467">
        <v>15733.62</v>
      </c>
      <c r="I57" s="312"/>
      <c r="J57" s="467">
        <v>0</v>
      </c>
      <c r="K57" s="312"/>
      <c r="L57" s="467">
        <v>0</v>
      </c>
      <c r="M57" s="312"/>
      <c r="N57" s="467">
        <v>0</v>
      </c>
      <c r="O57" s="312"/>
      <c r="P57" s="467">
        <v>0</v>
      </c>
      <c r="Q57" s="312"/>
      <c r="R57" s="467">
        <v>0</v>
      </c>
      <c r="S57" s="312"/>
      <c r="T57" s="467">
        <v>0</v>
      </c>
      <c r="U57" s="312"/>
      <c r="V57" s="467">
        <v>0</v>
      </c>
      <c r="W57" s="312"/>
      <c r="X57" s="467">
        <v>0</v>
      </c>
      <c r="Y57" s="312"/>
      <c r="Z57" s="467">
        <v>0</v>
      </c>
      <c r="AA57" s="312"/>
      <c r="AB57" s="467">
        <v>0</v>
      </c>
      <c r="AC57" s="312"/>
      <c r="AD57" s="467">
        <v>0</v>
      </c>
      <c r="AE57" s="312"/>
      <c r="AF57" s="467">
        <f>ROUND(SUM(H57:AD57),5)</f>
        <v>15733.62</v>
      </c>
    </row>
    <row r="58" spans="1:32" ht="15.75" thickBot="1" x14ac:dyDescent="0.3">
      <c r="A58" s="485"/>
      <c r="B58" s="485"/>
      <c r="C58" s="485" t="s">
        <v>419</v>
      </c>
      <c r="D58" s="485"/>
      <c r="E58" s="485"/>
      <c r="F58" s="485"/>
      <c r="G58" s="485"/>
      <c r="H58" s="315">
        <f>ROUND(SUM(H56:H57),5)</f>
        <v>15733.62</v>
      </c>
      <c r="I58" s="312"/>
      <c r="J58" s="315">
        <f>ROUND(SUM(J56:J57),5)</f>
        <v>0</v>
      </c>
      <c r="K58" s="312"/>
      <c r="L58" s="315">
        <f>ROUND(SUM(L56:L57),5)</f>
        <v>0</v>
      </c>
      <c r="M58" s="312"/>
      <c r="N58" s="315">
        <f>ROUND(SUM(N56:N57),5)</f>
        <v>0</v>
      </c>
      <c r="O58" s="312"/>
      <c r="P58" s="315">
        <f>ROUND(SUM(P56:P57),5)</f>
        <v>0</v>
      </c>
      <c r="Q58" s="312"/>
      <c r="R58" s="315">
        <f>ROUND(SUM(R56:R57),5)</f>
        <v>0</v>
      </c>
      <c r="S58" s="312"/>
      <c r="T58" s="315">
        <f>ROUND(SUM(T56:T57),5)</f>
        <v>0</v>
      </c>
      <c r="U58" s="312"/>
      <c r="V58" s="315">
        <f>ROUND(SUM(V56:V57),5)</f>
        <v>0</v>
      </c>
      <c r="W58" s="312"/>
      <c r="X58" s="315">
        <f>ROUND(SUM(X56:X57),5)</f>
        <v>0</v>
      </c>
      <c r="Y58" s="312"/>
      <c r="Z58" s="315">
        <f>ROUND(SUM(Z56:Z57),5)</f>
        <v>0</v>
      </c>
      <c r="AA58" s="312"/>
      <c r="AB58" s="315">
        <f>ROUND(SUM(AB56:AB57),5)</f>
        <v>0</v>
      </c>
      <c r="AC58" s="312"/>
      <c r="AD58" s="315">
        <f>ROUND(SUM(AD56:AD57),5)</f>
        <v>0</v>
      </c>
      <c r="AE58" s="312"/>
      <c r="AF58" s="315">
        <f>ROUND(SUM(H58:AD58),5)</f>
        <v>15733.62</v>
      </c>
    </row>
    <row r="59" spans="1:32" ht="15.75" thickBot="1" x14ac:dyDescent="0.3">
      <c r="A59" s="485"/>
      <c r="B59" s="485" t="s">
        <v>227</v>
      </c>
      <c r="C59" s="485"/>
      <c r="D59" s="485"/>
      <c r="E59" s="485"/>
      <c r="F59" s="485"/>
      <c r="G59" s="485"/>
      <c r="H59" s="315">
        <f>ROUND(H55+H58,5)</f>
        <v>15733.62</v>
      </c>
      <c r="I59" s="312"/>
      <c r="J59" s="315">
        <f>ROUND(J55+J58,5)</f>
        <v>0</v>
      </c>
      <c r="K59" s="312"/>
      <c r="L59" s="315">
        <f>ROUND(L55+L58,5)</f>
        <v>0</v>
      </c>
      <c r="M59" s="312"/>
      <c r="N59" s="315">
        <f>ROUND(N55+N58,5)</f>
        <v>0</v>
      </c>
      <c r="O59" s="312"/>
      <c r="P59" s="315">
        <f>ROUND(P55+P58,5)</f>
        <v>0</v>
      </c>
      <c r="Q59" s="312"/>
      <c r="R59" s="315">
        <f>ROUND(R55+R58,5)</f>
        <v>0</v>
      </c>
      <c r="S59" s="312"/>
      <c r="T59" s="315">
        <f>ROUND(T55+T58,5)</f>
        <v>0</v>
      </c>
      <c r="U59" s="312"/>
      <c r="V59" s="315">
        <f>ROUND(V55+V58,5)</f>
        <v>0</v>
      </c>
      <c r="W59" s="312"/>
      <c r="X59" s="315">
        <f>ROUND(X55+X58,5)</f>
        <v>0</v>
      </c>
      <c r="Y59" s="312"/>
      <c r="Z59" s="315">
        <f>ROUND(Z55+Z58,5)</f>
        <v>0</v>
      </c>
      <c r="AA59" s="312"/>
      <c r="AB59" s="315">
        <f>ROUND(AB55+AB58,5)</f>
        <v>0</v>
      </c>
      <c r="AC59" s="312"/>
      <c r="AD59" s="315">
        <f>ROUND(AD55+AD58,5)</f>
        <v>0</v>
      </c>
      <c r="AE59" s="312"/>
      <c r="AF59" s="315">
        <f>ROUND(SUM(H59:AD59),5)</f>
        <v>15733.62</v>
      </c>
    </row>
    <row r="60" spans="1:32" s="317" customFormat="1" ht="12" thickBot="1" x14ac:dyDescent="0.25">
      <c r="A60" s="485" t="s">
        <v>187</v>
      </c>
      <c r="B60" s="485"/>
      <c r="C60" s="485"/>
      <c r="D60" s="485"/>
      <c r="E60" s="485"/>
      <c r="F60" s="485"/>
      <c r="G60" s="485"/>
      <c r="H60" s="316">
        <f>ROUND(H54+H59,5)</f>
        <v>-3478.52</v>
      </c>
      <c r="I60" s="485"/>
      <c r="J60" s="316">
        <f>ROUND(J54+J59,5)</f>
        <v>-20098.919999999998</v>
      </c>
      <c r="K60" s="485"/>
      <c r="L60" s="316">
        <f>ROUND(L54+L59,5)</f>
        <v>-31858.07</v>
      </c>
      <c r="M60" s="485"/>
      <c r="N60" s="316">
        <f>ROUND(N54+N59,5)</f>
        <v>-20749.2</v>
      </c>
      <c r="O60" s="485"/>
      <c r="P60" s="316">
        <f>ROUND(P54+P59,5)</f>
        <v>-31734.69</v>
      </c>
      <c r="Q60" s="485"/>
      <c r="R60" s="316">
        <f>ROUND(R54+R59,5)</f>
        <v>-23411.8</v>
      </c>
      <c r="S60" s="485"/>
      <c r="T60" s="316">
        <f>ROUND(T54+T59,5)</f>
        <v>7281.02</v>
      </c>
      <c r="U60" s="485"/>
      <c r="V60" s="316">
        <f>ROUND(V54+V59,5)</f>
        <v>63977.49</v>
      </c>
      <c r="W60" s="485"/>
      <c r="X60" s="316">
        <f>ROUND(X54+X59,5)</f>
        <v>2436.06</v>
      </c>
      <c r="Y60" s="485"/>
      <c r="Z60" s="316">
        <f>ROUND(Z54+Z59,5)</f>
        <v>-13748.44</v>
      </c>
      <c r="AA60" s="485"/>
      <c r="AB60" s="316">
        <f>ROUND(AB54+AB59,5)</f>
        <v>9180.94</v>
      </c>
      <c r="AC60" s="485"/>
      <c r="AD60" s="316">
        <f>ROUND(AD54+AD59,5)</f>
        <v>-3704.84</v>
      </c>
      <c r="AE60" s="485"/>
      <c r="AF60" s="316">
        <f>ROUND(SUM(H60:AD60),5)</f>
        <v>-65908.97</v>
      </c>
    </row>
    <row r="61" spans="1:32" ht="15.75" thickTop="1" x14ac:dyDescent="0.25"/>
  </sheetData>
  <pageMargins left="0.2" right="0.2" top="1" bottom="0.75" header="0.1" footer="0.3"/>
  <pageSetup scale="90" orientation="portrait" r:id="rId1"/>
  <headerFooter>
    <oddHeader>&amp;L&amp;"Arial,Bold"&amp;8 1:55 PM
 10/01/19
 Accrual Basis&amp;C&amp;"Arial,Bold"&amp;12 League of Women Voters of California Education Fund
&amp;14 Statement of Activities
&amp;10 September 2018 through August 2019</oddHeader>
    <oddFooter>&amp;R&amp;"Arial,Bold"&amp;8 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Summary Reports</vt:lpstr>
      <vt:lpstr>LWVC Summary</vt:lpstr>
      <vt:lpstr>LWVC-Stmt of Act. by Class</vt:lpstr>
      <vt:lpstr>LWVC-Stmt of Activities by Mth</vt:lpstr>
      <vt:lpstr>LWVC-Stmt of Fin. Postn. by Mth</vt:lpstr>
      <vt:lpstr>LWVCEF Summary</vt:lpstr>
      <vt:lpstr>LWVCEF-Stmt.of Act. By Class</vt:lpstr>
      <vt:lpstr>LWVCEF-StmtofActbyClasswBudget</vt:lpstr>
      <vt:lpstr>LWVCEF-Stmt. of Act. by Month</vt:lpstr>
      <vt:lpstr>LWVCEF-Stmt of Fin. Pos. by mth</vt:lpstr>
      <vt:lpstr>FASB117 </vt:lpstr>
      <vt:lpstr>'FASB117 '!Print_Area</vt:lpstr>
      <vt:lpstr>'FASB117 '!Print_Titles</vt:lpstr>
      <vt:lpstr>'LWVCEF-Stmt of Fin. Pos. by mth'!Print_Titles</vt:lpstr>
      <vt:lpstr>'LWVCEF-Stmt. of Act. by Month'!Print_Titles</vt:lpstr>
      <vt:lpstr>'LWVC-Stmt of Act. by Class'!Print_Titles</vt:lpstr>
      <vt:lpstr>'LWVC-Stmt of Activities by Mth'!Print_Titles</vt:lpstr>
      <vt:lpstr>'LWVC-Stmt of Fin. Postn. by Mth'!Print_Titles</vt:lpstr>
    </vt:vector>
  </TitlesOfParts>
  <Company>SCanfield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Canfield</dc:creator>
  <cp:lastModifiedBy>Jacquie</cp:lastModifiedBy>
  <cp:revision/>
  <dcterms:created xsi:type="dcterms:W3CDTF">2017-09-08T17:45:43Z</dcterms:created>
  <dcterms:modified xsi:type="dcterms:W3CDTF">2020-07-06T16:58:03Z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{E09BEB6E-A823-4FAC-B5E4-9F86D91FDA45}</vt:lpwstr>
  </property>
</Properties>
</file>