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985" yWindow="-15" windowWidth="12030" windowHeight="10140" tabRatio="968" activeTab="1"/>
  </bookViews>
  <sheets>
    <sheet name="Summary Reports" sheetId="2" r:id="rId1"/>
    <sheet name="LWVC Summary" sheetId="6" r:id="rId2"/>
    <sheet name="LWVC-Stmt of Act. by Class" sheetId="7" r:id="rId3"/>
    <sheet name="LWVC-Stmt of Activities by Mth" sheetId="23" r:id="rId4"/>
    <sheet name="LWVC-Stmt of Fin. Postn. by Mth" sheetId="19" r:id="rId5"/>
    <sheet name="LWVCEF Summary" sheetId="5" r:id="rId6"/>
    <sheet name="LWVCEF-Stmt of Activ. by Class" sheetId="27" r:id="rId7"/>
    <sheet name="LWVCEF-Stmt. of Act. by Month" sheetId="26" r:id="rId8"/>
    <sheet name="LWVCEF-Stmt of Fin. Pos. by mth" sheetId="21" r:id="rId9"/>
    <sheet name="FASB117 " sheetId="24" r:id="rId10"/>
  </sheets>
  <externalReferences>
    <externalReference r:id="rId11"/>
  </externalReferences>
  <definedNames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9">'FASB117 '!$A$1:$L$65</definedName>
    <definedName name="_xlnm.Print_Titles" localSheetId="9">'FASB117 '!$A:$G,'FASB117 '!$1:$1</definedName>
    <definedName name="_xlnm.Print_Titles" localSheetId="6">'LWVCEF-Stmt of Activ. by Class'!$A:$G,'LWVCEF-Stmt of Activ. by Class'!$1:$3</definedName>
    <definedName name="_xlnm.Print_Titles" localSheetId="8">'LWVCEF-Stmt of Fin. Pos. by mth'!$A:$G,'LWVCEF-Stmt of Fin. Pos. by mth'!$1:$1</definedName>
    <definedName name="_xlnm.Print_Titles" localSheetId="7">'LWVCEF-Stmt. of Act. by Month'!$A:$G,'LWVCEF-Stmt. of Act. by Month'!$1:$1</definedName>
    <definedName name="_xlnm.Print_Titles" localSheetId="2">'LWVC-Stmt of Act. by Class'!$A:$G,'LWVC-Stmt of Act. by Class'!$1:$3</definedName>
    <definedName name="_xlnm.Print_Titles" localSheetId="3">'LWVC-Stmt of Activities by Mth'!$A:$G,'LWVC-Stmt of Activities by Mth'!$1:$1</definedName>
    <definedName name="_xlnm.Print_Titles" localSheetId="4">'LWVC-Stmt of Fin. Postn. by Mth'!$A:$G,'LWVC-Stmt of Fin. Postn. by Mth'!$1:$1</definedName>
    <definedName name="QB_COLUMN_142300" localSheetId="6" hidden="1">'LWVCEF-Stmt of Activ. by Class'!$AT$1</definedName>
    <definedName name="QB_COLUMN_142301" localSheetId="6" hidden="1">'LWVCEF-Stmt of Activ. by Class'!$AT$2</definedName>
    <definedName name="QB_COLUMN_143200" localSheetId="6" hidden="1">'LWVCEF-Stmt of Activ. by Class'!$AV$1</definedName>
    <definedName name="QB_COLUMN_143201" localSheetId="6" hidden="1">'LWVCEF-Stmt of Activ. by Class'!$AV$2</definedName>
    <definedName name="QB_COLUMN_192300" localSheetId="2" hidden="1">'LWVC-Stmt of Act. by Class'!#REF!</definedName>
    <definedName name="QB_COLUMN_192301" localSheetId="2" hidden="1">'LWVC-Stmt of Act. by Class'!#REF!</definedName>
    <definedName name="QB_COLUMN_193200" localSheetId="2" hidden="1">'LWVC-Stmt of Act. by Class'!#REF!</definedName>
    <definedName name="QB_COLUMN_193201" localSheetId="2" hidden="1">'LWVC-Stmt of Act. by Class'!#REF!</definedName>
    <definedName name="QB_COLUMN_202300" localSheetId="6" hidden="1">'LWVCEF-Stmt of Activ. by Class'!$T$1</definedName>
    <definedName name="QB_COLUMN_202301" localSheetId="6" hidden="1">'LWVCEF-Stmt of Activ. by Class'!$T$2</definedName>
    <definedName name="QB_COLUMN_203200" localSheetId="6" hidden="1">'LWVCEF-Stmt of Activ. by Class'!$V$1</definedName>
    <definedName name="QB_COLUMN_203201" localSheetId="6" hidden="1">'LWVCEF-Stmt of Activ. by Class'!$V$2</definedName>
    <definedName name="QB_COLUMN_212200" localSheetId="6" hidden="1">'LWVCEF-Stmt of Activ. by Class'!$H$1</definedName>
    <definedName name="QB_COLUMN_212200" localSheetId="2" hidden="1">'LWVC-Stmt of Act. by Class'!#REF!</definedName>
    <definedName name="QB_COLUMN_212201" localSheetId="6" hidden="1">'LWVCEF-Stmt of Activ. by Class'!$H$2</definedName>
    <definedName name="QB_COLUMN_212201" localSheetId="2" hidden="1">'LWVC-Stmt of Act. by Class'!#REF!</definedName>
    <definedName name="QB_COLUMN_213101" localSheetId="2" hidden="1">'LWVC-Stmt of Act. by Class'!#REF!</definedName>
    <definedName name="QB_COLUMN_222200" localSheetId="2" hidden="1">'LWVC-Stmt of Act. by Class'!#REF!</definedName>
    <definedName name="QB_COLUMN_222201" localSheetId="2" hidden="1">'LWVC-Stmt of Act. by Class'!#REF!</definedName>
    <definedName name="QB_COLUMN_22300" localSheetId="2" hidden="1">'LWVC-Stmt of Act. by Class'!#REF!</definedName>
    <definedName name="QB_COLUMN_22301" localSheetId="2" hidden="1">'LWVC-Stmt of Act. by Class'!#REF!</definedName>
    <definedName name="QB_COLUMN_23200" localSheetId="2" hidden="1">'LWVC-Stmt of Act. by Class'!#REF!</definedName>
    <definedName name="QB_COLUMN_23201" localSheetId="2" hidden="1">'LWVC-Stmt of Act. by Class'!#REF!</definedName>
    <definedName name="QB_COLUMN_242300" localSheetId="2" hidden="1">'LWVC-Stmt of Act. by Class'!#REF!</definedName>
    <definedName name="QB_COLUMN_242301" localSheetId="2" hidden="1">'LWVC-Stmt of Act. by Class'!#REF!</definedName>
    <definedName name="QB_COLUMN_252200" localSheetId="6" hidden="1">'LWVCEF-Stmt of Activ. by Class'!$J$1</definedName>
    <definedName name="QB_COLUMN_252201" localSheetId="6" hidden="1">'LWVCEF-Stmt of Activ. by Class'!$J$2</definedName>
    <definedName name="QB_COLUMN_253101" localSheetId="6" hidden="1">'LWVCEF-Stmt of Activ. by Class'!$L$2</definedName>
    <definedName name="QB_COLUMN_282300" localSheetId="6" hidden="1">'LWVCEF-Stmt of Activ. by Class'!$AN$1</definedName>
    <definedName name="QB_COLUMN_282301" localSheetId="6" hidden="1">'LWVCEF-Stmt of Activ. by Class'!$AN$2</definedName>
    <definedName name="QB_COLUMN_283200" localSheetId="6" hidden="1">'LWVCEF-Stmt of Activ. by Class'!$AP$1</definedName>
    <definedName name="QB_COLUMN_283201" localSheetId="6" hidden="1">'LWVCEF-Stmt of Activ. by Class'!$AP$2</definedName>
    <definedName name="QB_COLUMN_29" localSheetId="9" hidden="1">'FASB117 '!$H$1</definedName>
    <definedName name="QB_COLUMN_2920" localSheetId="8" hidden="1">'LWVCEF-Stmt of Fin. Pos. by mth'!$H$1</definedName>
    <definedName name="QB_COLUMN_2920" localSheetId="4" hidden="1">'LWVC-Stmt of Fin. Postn. by Mth'!$H$1</definedName>
    <definedName name="QB_COLUMN_2921" localSheetId="8" hidden="1">'LWVCEF-Stmt of Fin. Pos. by mth'!$J$1</definedName>
    <definedName name="QB_COLUMN_2921" localSheetId="7" hidden="1">'LWVCEF-Stmt. of Act. by Month'!$H$1</definedName>
    <definedName name="QB_COLUMN_2921" localSheetId="3" hidden="1">'LWVC-Stmt of Activities by Mth'!$H$1</definedName>
    <definedName name="QB_COLUMN_2921" localSheetId="4" hidden="1">'LWVC-Stmt of Fin. Postn. by Mth'!$J$1</definedName>
    <definedName name="QB_COLUMN_29210" localSheetId="8" hidden="1">'LWVCEF-Stmt of Fin. Pos. by mth'!$AB$1</definedName>
    <definedName name="QB_COLUMN_29210" localSheetId="7" hidden="1">'LWVCEF-Stmt. of Act. by Month'!$Z$1</definedName>
    <definedName name="QB_COLUMN_29210" localSheetId="3" hidden="1">'LWVC-Stmt of Activities by Mth'!$Z$1</definedName>
    <definedName name="QB_COLUMN_29210" localSheetId="4" hidden="1">'LWVC-Stmt of Fin. Postn. by Mth'!$AB$1</definedName>
    <definedName name="QB_COLUMN_29211" localSheetId="8" hidden="1">'LWVCEF-Stmt of Fin. Pos. by mth'!$AD$1</definedName>
    <definedName name="QB_COLUMN_29211" localSheetId="7" hidden="1">'LWVCEF-Stmt. of Act. by Month'!$AB$1</definedName>
    <definedName name="QB_COLUMN_29211" localSheetId="3" hidden="1">'LWVC-Stmt of Activities by Mth'!$AB$1</definedName>
    <definedName name="QB_COLUMN_29211" localSheetId="4" hidden="1">'LWVC-Stmt of Fin. Postn. by Mth'!$AD$1</definedName>
    <definedName name="QB_COLUMN_29212" localSheetId="7" hidden="1">'LWVCEF-Stmt. of Act. by Month'!$AD$1</definedName>
    <definedName name="QB_COLUMN_29212" localSheetId="3" hidden="1">'LWVC-Stmt of Activities by Mth'!$AD$1</definedName>
    <definedName name="QB_COLUMN_2922" localSheetId="8" hidden="1">'LWVCEF-Stmt of Fin. Pos. by mth'!$L$1</definedName>
    <definedName name="QB_COLUMN_2922" localSheetId="7" hidden="1">'LWVCEF-Stmt. of Act. by Month'!$J$1</definedName>
    <definedName name="QB_COLUMN_2922" localSheetId="3" hidden="1">'LWVC-Stmt of Activities by Mth'!$J$1</definedName>
    <definedName name="QB_COLUMN_2922" localSheetId="4" hidden="1">'LWVC-Stmt of Fin. Postn. by Mth'!$L$1</definedName>
    <definedName name="QB_COLUMN_2923" localSheetId="8" hidden="1">'LWVCEF-Stmt of Fin. Pos. by mth'!$N$1</definedName>
    <definedName name="QB_COLUMN_2923" localSheetId="7" hidden="1">'LWVCEF-Stmt. of Act. by Month'!$L$1</definedName>
    <definedName name="QB_COLUMN_2923" localSheetId="3" hidden="1">'LWVC-Stmt of Activities by Mth'!$L$1</definedName>
    <definedName name="QB_COLUMN_2923" localSheetId="4" hidden="1">'LWVC-Stmt of Fin. Postn. by Mth'!$N$1</definedName>
    <definedName name="QB_COLUMN_2924" localSheetId="8" hidden="1">'LWVCEF-Stmt of Fin. Pos. by mth'!$P$1</definedName>
    <definedName name="QB_COLUMN_2924" localSheetId="7" hidden="1">'LWVCEF-Stmt. of Act. by Month'!$N$1</definedName>
    <definedName name="QB_COLUMN_2924" localSheetId="3" hidden="1">'LWVC-Stmt of Activities by Mth'!$N$1</definedName>
    <definedName name="QB_COLUMN_2924" localSheetId="4" hidden="1">'LWVC-Stmt of Fin. Postn. by Mth'!$P$1</definedName>
    <definedName name="QB_COLUMN_2925" localSheetId="8" hidden="1">'LWVCEF-Stmt of Fin. Pos. by mth'!$R$1</definedName>
    <definedName name="QB_COLUMN_2925" localSheetId="7" hidden="1">'LWVCEF-Stmt. of Act. by Month'!$P$1</definedName>
    <definedName name="QB_COLUMN_2925" localSheetId="3" hidden="1">'LWVC-Stmt of Activities by Mth'!$P$1</definedName>
    <definedName name="QB_COLUMN_2925" localSheetId="4" hidden="1">'LWVC-Stmt of Fin. Postn. by Mth'!$R$1</definedName>
    <definedName name="QB_COLUMN_2926" localSheetId="8" hidden="1">'LWVCEF-Stmt of Fin. Pos. by mth'!$T$1</definedName>
    <definedName name="QB_COLUMN_2926" localSheetId="7" hidden="1">'LWVCEF-Stmt. of Act. by Month'!$R$1</definedName>
    <definedName name="QB_COLUMN_2926" localSheetId="3" hidden="1">'LWVC-Stmt of Activities by Mth'!$R$1</definedName>
    <definedName name="QB_COLUMN_2926" localSheetId="4" hidden="1">'LWVC-Stmt of Fin. Postn. by Mth'!$T$1</definedName>
    <definedName name="QB_COLUMN_2927" localSheetId="8" hidden="1">'LWVCEF-Stmt of Fin. Pos. by mth'!$V$1</definedName>
    <definedName name="QB_COLUMN_2927" localSheetId="7" hidden="1">'LWVCEF-Stmt. of Act. by Month'!$T$1</definedName>
    <definedName name="QB_COLUMN_2927" localSheetId="3" hidden="1">'LWVC-Stmt of Activities by Mth'!$T$1</definedName>
    <definedName name="QB_COLUMN_2927" localSheetId="4" hidden="1">'LWVC-Stmt of Fin. Postn. by Mth'!$V$1</definedName>
    <definedName name="QB_COLUMN_2928" localSheetId="8" hidden="1">'LWVCEF-Stmt of Fin. Pos. by mth'!$X$1</definedName>
    <definedName name="QB_COLUMN_2928" localSheetId="7" hidden="1">'LWVCEF-Stmt. of Act. by Month'!$V$1</definedName>
    <definedName name="QB_COLUMN_2928" localSheetId="3" hidden="1">'LWVC-Stmt of Activities by Mth'!$V$1</definedName>
    <definedName name="QB_COLUMN_2928" localSheetId="4" hidden="1">'LWVC-Stmt of Fin. Postn. by Mth'!$X$1</definedName>
    <definedName name="QB_COLUMN_2929" localSheetId="8" hidden="1">'LWVCEF-Stmt of Fin. Pos. by mth'!$Z$1</definedName>
    <definedName name="QB_COLUMN_2929" localSheetId="7" hidden="1">'LWVCEF-Stmt. of Act. by Month'!$X$1</definedName>
    <definedName name="QB_COLUMN_2929" localSheetId="3" hidden="1">'LWVC-Stmt of Activities by Mth'!$X$1</definedName>
    <definedName name="QB_COLUMN_2929" localSheetId="4" hidden="1">'LWVC-Stmt of Fin. Postn. by Mth'!$Z$1</definedName>
    <definedName name="QB_COLUMN_2930" localSheetId="7" hidden="1">'LWVCEF-Stmt. of Act. by Month'!$AF$1</definedName>
    <definedName name="QB_COLUMN_2930" localSheetId="3" hidden="1">'LWVC-Stmt of Activities by Mth'!$AF$1</definedName>
    <definedName name="QB_COLUMN_312200" localSheetId="2" hidden="1">'LWVC-Stmt of Act. by Class'!#REF!</definedName>
    <definedName name="QB_COLUMN_312201" localSheetId="2" hidden="1">'LWVC-Stmt of Act. by Class'!#REF!</definedName>
    <definedName name="QB_COLUMN_32101" localSheetId="2" hidden="1">'LWVC-Stmt of Act. by Class'!#REF!</definedName>
    <definedName name="QB_COLUMN_42101" localSheetId="6" hidden="1">'LWVCEF-Stmt of Activ. by Class'!$N$2</definedName>
    <definedName name="QB_COLUMN_423011" localSheetId="6" hidden="1">'LWVCEF-Stmt of Activ. by Class'!$AZ$2</definedName>
    <definedName name="QB_COLUMN_423011" localSheetId="2" hidden="1">'LWVC-Stmt of Act. by Class'!#REF!</definedName>
    <definedName name="QB_COLUMN_452111" localSheetId="2" hidden="1">'LWVC-Stmt of Act. by Class'!#REF!</definedName>
    <definedName name="QB_COLUMN_453200" localSheetId="2" hidden="1">'LWVC-Stmt of Act. by Class'!#REF!</definedName>
    <definedName name="QB_COLUMN_453201" localSheetId="2" hidden="1">'LWVC-Stmt of Act. by Class'!#REF!</definedName>
    <definedName name="QB_COLUMN_532200" localSheetId="2" hidden="1">'LWVC-Stmt of Act. by Class'!#REF!</definedName>
    <definedName name="QB_COLUMN_532201" localSheetId="2" hidden="1">'LWVC-Stmt of Act. by Class'!#REF!</definedName>
    <definedName name="QB_COLUMN_533101" localSheetId="6" hidden="1">'LWVCEF-Stmt of Activ. by Class'!$AX$2</definedName>
    <definedName name="QB_COLUMN_542200" localSheetId="2" hidden="1">'LWVC-Stmt of Act. by Class'!#REF!</definedName>
    <definedName name="QB_COLUMN_542201" localSheetId="2" hidden="1">'LWVC-Stmt of Act. by Class'!#REF!</definedName>
    <definedName name="QB_COLUMN_552300" localSheetId="2" hidden="1">'LWVC-Stmt of Act. by Class'!#REF!</definedName>
    <definedName name="QB_COLUMN_552301" localSheetId="2" hidden="1">'LWVC-Stmt of Act. by Class'!#REF!</definedName>
    <definedName name="QB_COLUMN_553200" localSheetId="2" hidden="1">'LWVC-Stmt of Act. by Class'!#REF!</definedName>
    <definedName name="QB_COLUMN_553201" localSheetId="2" hidden="1">'LWVC-Stmt of Act. by Class'!#REF!</definedName>
    <definedName name="QB_COLUMN_563101" localSheetId="2" hidden="1">'LWVC-Stmt of Act. by Class'!#REF!</definedName>
    <definedName name="QB_COLUMN_573101" localSheetId="2" hidden="1">'LWVC-Stmt of Act. by Class'!#REF!</definedName>
    <definedName name="QB_COLUMN_592014" localSheetId="6" hidden="1">'LWVCEF-Stmt of Activ. by Class'!$BX$3</definedName>
    <definedName name="QB_COLUMN_592019" localSheetId="2" hidden="1">'LWVC-Stmt of Act. by Class'!#REF!</definedName>
    <definedName name="QB_COLUMN_59202" localSheetId="2" hidden="1">'LWVC-Stmt of Act. by Class'!#REF!</definedName>
    <definedName name="QB_COLUMN_592020" localSheetId="6" hidden="1">'LWVCEF-Stmt of Activ. by Class'!$AN$3</definedName>
    <definedName name="QB_COLUMN_592021" localSheetId="6" hidden="1">'LWVCEF-Stmt of Activ. by Class'!$H$3</definedName>
    <definedName name="QB_COLUMN_592021" localSheetId="2" hidden="1">'LWVC-Stmt of Act. by Class'!#REF!</definedName>
    <definedName name="QB_COLUMN_592022" localSheetId="2" hidden="1">'LWVC-Stmt of Act. by Class'!#REF!</definedName>
    <definedName name="QB_COLUMN_592024" localSheetId="2" hidden="1">'LWVC-Stmt of Act. by Class'!#REF!</definedName>
    <definedName name="QB_COLUMN_592025" localSheetId="6" hidden="1">'LWVCEF-Stmt of Activ. by Class'!$L$3</definedName>
    <definedName name="QB_COLUMN_592028" localSheetId="6" hidden="1">'LWVCEF-Stmt of Activ. by Class'!$BL$3</definedName>
    <definedName name="QB_COLUMN_59203" localSheetId="2" hidden="1">'LWVC-Stmt of Act. by Class'!#REF!</definedName>
    <definedName name="QB_COLUMN_592031" localSheetId="2" hidden="1">'LWVC-Stmt of Act. by Class'!#REF!</definedName>
    <definedName name="QB_COLUMN_59204" localSheetId="6" hidden="1">'LWVCEF-Stmt of Activ. by Class'!$T$3</definedName>
    <definedName name="QB_COLUMN_592053" localSheetId="2" hidden="1">'LWVC-Stmt of Act. by Class'!#REF!</definedName>
    <definedName name="QB_COLUMN_592054" localSheetId="2" hidden="1">'LWVC-Stmt of Act. by Class'!#REF!</definedName>
    <definedName name="QB_COLUMN_592055" localSheetId="2" hidden="1">'LWVC-Stmt of Act. by Class'!#REF!</definedName>
    <definedName name="QB_COLUMN_592061" localSheetId="2" hidden="1">'LWVC-Stmt of Act. by Class'!#REF!</definedName>
    <definedName name="QB_COLUMN_592064" localSheetId="2" hidden="1">'LWVC-Stmt of Act. by Class'!#REF!</definedName>
    <definedName name="QB_COLUMN_592065" localSheetId="2" hidden="1">'LWVC-Stmt of Act. by Class'!#REF!</definedName>
    <definedName name="QB_COLUMN_592067" localSheetId="2" hidden="1">'LWVC-Stmt of Act. by Class'!#REF!</definedName>
    <definedName name="QB_COLUMN_592068" localSheetId="2" hidden="1">'LWVC-Stmt of Act. by Class'!#REF!</definedName>
    <definedName name="QB_COLUMN_592070" localSheetId="6" hidden="1">'LWVCEF-Stmt of Activ. by Class'!$AV$3</definedName>
    <definedName name="QB_COLUMN_592072" localSheetId="2" hidden="1">'LWVC-Stmt of Act. by Class'!#REF!</definedName>
    <definedName name="QB_COLUMN_592073" localSheetId="6" hidden="1">'LWVCEF-Stmt of Activ. by Class'!$BT$3</definedName>
    <definedName name="QB_COLUMN_592074" localSheetId="6" hidden="1">'LWVCEF-Stmt of Activ. by Class'!$X$3</definedName>
    <definedName name="QB_COLUMN_592075" localSheetId="6" hidden="1">'LWVCEF-Stmt of Activ. by Class'!$BH$3</definedName>
    <definedName name="QB_COLUMN_592080" localSheetId="6" hidden="1">'LWVCEF-Stmt of Activ. by Class'!$AJ$3</definedName>
    <definedName name="QB_COLUMN_592082" localSheetId="6" hidden="1">'LWVCEF-Stmt of Activ. by Class'!$AZ$3</definedName>
    <definedName name="QB_COLUMN_59300" localSheetId="6" hidden="1">'LWVCEF-Stmt of Activ. by Class'!$CN$3</definedName>
    <definedName name="QB_COLUMN_59300" localSheetId="2" hidden="1">'LWVC-Stmt of Act. by Class'!#REF!</definedName>
    <definedName name="QB_COLUMN_593014" localSheetId="6" hidden="1">'LWVCEF-Stmt of Activ. by Class'!$CB$3</definedName>
    <definedName name="QB_COLUMN_593019" localSheetId="2" hidden="1">'LWVC-Stmt of Act. by Class'!#REF!</definedName>
    <definedName name="QB_COLUMN_59302" localSheetId="2" hidden="1">'LWVC-Stmt of Act. by Class'!#REF!</definedName>
    <definedName name="QB_COLUMN_593020" localSheetId="6" hidden="1">'LWVCEF-Stmt of Activ. by Class'!$AR$3</definedName>
    <definedName name="QB_COLUMN_593021" localSheetId="2" hidden="1">'LWVC-Stmt of Act. by Class'!#REF!</definedName>
    <definedName name="QB_COLUMN_593025" localSheetId="6" hidden="1">'LWVCEF-Stmt of Activ. by Class'!$P$3</definedName>
    <definedName name="QB_COLUMN_593028" localSheetId="6" hidden="1">'LWVCEF-Stmt of Activ. by Class'!$BP$3</definedName>
    <definedName name="QB_COLUMN_593045" localSheetId="2" hidden="1">'LWVC-Stmt of Act. by Class'!#REF!</definedName>
    <definedName name="QB_COLUMN_593053" localSheetId="6" hidden="1">'LWVCEF-Stmt of Activ. by Class'!$CF$3</definedName>
    <definedName name="QB_COLUMN_593055" localSheetId="2" hidden="1">'LWVC-Stmt of Act. by Class'!#REF!</definedName>
    <definedName name="QB_COLUMN_593056" localSheetId="2" hidden="1">'LWVC-Stmt of Act. by Class'!#REF!</definedName>
    <definedName name="QB_COLUMN_593057" localSheetId="2" hidden="1">'LWVC-Stmt of Act. by Class'!#REF!</definedName>
    <definedName name="QB_COLUMN_593076" localSheetId="6" hidden="1">'LWVCEF-Stmt of Activ. by Class'!$BD$3</definedName>
    <definedName name="QB_COLUMN_612200" localSheetId="2" hidden="1">'LWVC-Stmt of Act. by Class'!#REF!</definedName>
    <definedName name="QB_COLUMN_612201" localSheetId="2" hidden="1">'LWVC-Stmt of Act. by Class'!#REF!</definedName>
    <definedName name="QB_COLUMN_642300" localSheetId="2" hidden="1">'LWVC-Stmt of Act. by Class'!#REF!</definedName>
    <definedName name="QB_COLUMN_642301" localSheetId="2" hidden="1">'LWVC-Stmt of Act. by Class'!#REF!</definedName>
    <definedName name="QB_COLUMN_652300" localSheetId="2" hidden="1">'LWVC-Stmt of Act. by Class'!#REF!</definedName>
    <definedName name="QB_COLUMN_652301" localSheetId="2" hidden="1">'LWVC-Stmt of Act. by Class'!#REF!</definedName>
    <definedName name="QB_COLUMN_672300" localSheetId="2" hidden="1">'LWVC-Stmt of Act. by Class'!#REF!</definedName>
    <definedName name="QB_COLUMN_672301" localSheetId="2" hidden="1">'LWVC-Stmt of Act. by Class'!#REF!</definedName>
    <definedName name="QB_COLUMN_682300" localSheetId="2" hidden="1">'LWVC-Stmt of Act. by Class'!#REF!</definedName>
    <definedName name="QB_COLUMN_682301" localSheetId="2" hidden="1">'LWVC-Stmt of Act. by Class'!#REF!</definedName>
    <definedName name="QB_COLUMN_702400" localSheetId="6" hidden="1">'LWVCEF-Stmt of Activ. by Class'!$X$1</definedName>
    <definedName name="QB_COLUMN_702401" localSheetId="6" hidden="1">'LWVCEF-Stmt of Activ. by Class'!$X$2</definedName>
    <definedName name="QB_COLUMN_732300" localSheetId="6" hidden="1">'LWVCEF-Stmt of Activ. by Class'!$AR$1</definedName>
    <definedName name="QB_COLUMN_732301" localSheetId="6" hidden="1">'LWVCEF-Stmt of Activ. by Class'!$AR$2</definedName>
    <definedName name="QB_COLUMN_742300" localSheetId="6" hidden="1">'LWVCEF-Stmt of Activ. by Class'!$P$1</definedName>
    <definedName name="QB_COLUMN_742301" localSheetId="6" hidden="1">'LWVCEF-Stmt of Activ. by Class'!$P$2</definedName>
    <definedName name="QB_COLUMN_752300" localSheetId="6" hidden="1">'LWVCEF-Stmt of Activ. by Class'!$AL$1</definedName>
    <definedName name="QB_COLUMN_752301" localSheetId="6" hidden="1">'LWVCEF-Stmt of Activ. by Class'!$AL$2</definedName>
    <definedName name="QB_COLUMN_762114" localSheetId="6" hidden="1">'LWVCEF-Stmt of Activ. by Class'!$BZ$3</definedName>
    <definedName name="QB_COLUMN_762119" localSheetId="2" hidden="1">'LWVC-Stmt of Act. by Class'!#REF!</definedName>
    <definedName name="QB_COLUMN_76212" localSheetId="2" hidden="1">'LWVC-Stmt of Act. by Class'!#REF!</definedName>
    <definedName name="QB_COLUMN_762120" localSheetId="6" hidden="1">'LWVCEF-Stmt of Activ. by Class'!$AP$3</definedName>
    <definedName name="QB_COLUMN_762121" localSheetId="6" hidden="1">'LWVCEF-Stmt of Activ. by Class'!$J$3</definedName>
    <definedName name="QB_COLUMN_762121" localSheetId="2" hidden="1">'LWVC-Stmt of Act. by Class'!#REF!</definedName>
    <definedName name="QB_COLUMN_762122" localSheetId="2" hidden="1">'LWVC-Stmt of Act. by Class'!#REF!</definedName>
    <definedName name="QB_COLUMN_762124" localSheetId="2" hidden="1">'LWVC-Stmt of Act. by Class'!#REF!</definedName>
    <definedName name="QB_COLUMN_762125" localSheetId="6" hidden="1">'LWVCEF-Stmt of Activ. by Class'!$N$3</definedName>
    <definedName name="QB_COLUMN_762128" localSheetId="6" hidden="1">'LWVCEF-Stmt of Activ. by Class'!$BN$3</definedName>
    <definedName name="QB_COLUMN_76213" localSheetId="2" hidden="1">'LWVC-Stmt of Act. by Class'!#REF!</definedName>
    <definedName name="QB_COLUMN_762131" localSheetId="2" hidden="1">'LWVC-Stmt of Act. by Class'!#REF!</definedName>
    <definedName name="QB_COLUMN_76214" localSheetId="6" hidden="1">'LWVCEF-Stmt of Activ. by Class'!$V$3</definedName>
    <definedName name="QB_COLUMN_762153" localSheetId="2" hidden="1">'LWVC-Stmt of Act. by Class'!#REF!</definedName>
    <definedName name="QB_COLUMN_762154" localSheetId="2" hidden="1">'LWVC-Stmt of Act. by Class'!#REF!</definedName>
    <definedName name="QB_COLUMN_762155" localSheetId="2" hidden="1">'LWVC-Stmt of Act. by Class'!#REF!</definedName>
    <definedName name="QB_COLUMN_762161" localSheetId="2" hidden="1">'LWVC-Stmt of Act. by Class'!#REF!</definedName>
    <definedName name="QB_COLUMN_762164" localSheetId="2" hidden="1">'LWVC-Stmt of Act. by Class'!#REF!</definedName>
    <definedName name="QB_COLUMN_762165" localSheetId="2" hidden="1">'LWVC-Stmt of Act. by Class'!#REF!</definedName>
    <definedName name="QB_COLUMN_762167" localSheetId="2" hidden="1">'LWVC-Stmt of Act. by Class'!#REF!</definedName>
    <definedName name="QB_COLUMN_762168" localSheetId="2" hidden="1">'LWVC-Stmt of Act. by Class'!#REF!</definedName>
    <definedName name="QB_COLUMN_762170" localSheetId="6" hidden="1">'LWVCEF-Stmt of Activ. by Class'!$AX$3</definedName>
    <definedName name="QB_COLUMN_762172" localSheetId="2" hidden="1">'LWVC-Stmt of Act. by Class'!#REF!</definedName>
    <definedName name="QB_COLUMN_762173" localSheetId="6" hidden="1">'LWVCEF-Stmt of Activ. by Class'!$BV$3</definedName>
    <definedName name="QB_COLUMN_762174" localSheetId="6" hidden="1">'LWVCEF-Stmt of Activ. by Class'!$Z$3</definedName>
    <definedName name="QB_COLUMN_762175" localSheetId="6" hidden="1">'LWVCEF-Stmt of Activ. by Class'!$BJ$3</definedName>
    <definedName name="QB_COLUMN_762180" localSheetId="6" hidden="1">'LWVCEF-Stmt of Activ. by Class'!$AL$3</definedName>
    <definedName name="QB_COLUMN_762182" localSheetId="6" hidden="1">'LWVCEF-Stmt of Activ. by Class'!$BB$3</definedName>
    <definedName name="QB_COLUMN_76310" localSheetId="6" hidden="1">'LWVCEF-Stmt of Activ. by Class'!$CP$3</definedName>
    <definedName name="QB_COLUMN_76310" localSheetId="2" hidden="1">'LWVC-Stmt of Act. by Class'!#REF!</definedName>
    <definedName name="QB_COLUMN_763114" localSheetId="6" hidden="1">'LWVCEF-Stmt of Activ. by Class'!$CD$3</definedName>
    <definedName name="QB_COLUMN_763119" localSheetId="2" hidden="1">'LWVC-Stmt of Act. by Class'!#REF!</definedName>
    <definedName name="QB_COLUMN_76312" localSheetId="2" hidden="1">'LWVC-Stmt of Act. by Class'!#REF!</definedName>
    <definedName name="QB_COLUMN_763120" localSheetId="6" hidden="1">'LWVCEF-Stmt of Activ. by Class'!$AT$3</definedName>
    <definedName name="QB_COLUMN_763121" localSheetId="2" hidden="1">'LWVC-Stmt of Act. by Class'!#REF!</definedName>
    <definedName name="QB_COLUMN_763125" localSheetId="6" hidden="1">'LWVCEF-Stmt of Activ. by Class'!$R$3</definedName>
    <definedName name="QB_COLUMN_763128" localSheetId="6" hidden="1">'LWVCEF-Stmt of Activ. by Class'!$BR$3</definedName>
    <definedName name="QB_COLUMN_763145" localSheetId="2" hidden="1">'LWVC-Stmt of Act. by Class'!#REF!</definedName>
    <definedName name="QB_COLUMN_763153" localSheetId="6" hidden="1">'LWVCEF-Stmt of Activ. by Class'!$CH$3</definedName>
    <definedName name="QB_COLUMN_763155" localSheetId="2" hidden="1">'LWVC-Stmt of Act. by Class'!#REF!</definedName>
    <definedName name="QB_COLUMN_763156" localSheetId="2" hidden="1">'LWVC-Stmt of Act. by Class'!#REF!</definedName>
    <definedName name="QB_COLUMN_763157" localSheetId="2" hidden="1">'LWVC-Stmt of Act. by Class'!#REF!</definedName>
    <definedName name="QB_COLUMN_763176" localSheetId="6" hidden="1">'LWVCEF-Stmt of Activ. by Class'!$BF$3</definedName>
    <definedName name="QB_COLUMN_763300" localSheetId="6" hidden="1">'LWVCEF-Stmt of Activ. by Class'!$AJ$1</definedName>
    <definedName name="QB_COLUMN_763301" localSheetId="6" hidden="1">'LWVCEF-Stmt of Activ. by Class'!$AJ$2</definedName>
    <definedName name="QB_COLUMN_802300" localSheetId="6" hidden="1">'LWVCEF-Stmt of Activ. by Class'!$R$1</definedName>
    <definedName name="QB_COLUMN_802301" localSheetId="6" hidden="1">'LWVCEF-Stmt of Activ. by Class'!$R$2</definedName>
    <definedName name="QB_COLUMN_822400" localSheetId="6" hidden="1">'LWVCEF-Stmt of Activ. by Class'!$Z$1</definedName>
    <definedName name="QB_COLUMN_822401" localSheetId="6" hidden="1">'LWVCEF-Stmt of Activ. by Class'!$Z$2</definedName>
    <definedName name="QB_DATA_0" localSheetId="9" hidden="1">'FASB117 '!$6:$6,'FASB117 '!$7:$7,'FASB117 '!$9:$9,'FASB117 '!$11:$11,'FASB117 '!$12:$12,'FASB117 '!$13:$13,'FASB117 '!$16:$16,'FASB117 '!$17:$17,'FASB117 '!$21:$21,'FASB117 '!$22:$22,'FASB117 '!$23:$23,'FASB117 '!$25:$25,'FASB117 '!$27:$27,'FASB117 '!$28:$28,'FASB117 '!$31:$31,'FASB117 '!$32:$32</definedName>
    <definedName name="QB_DATA_0" localSheetId="6" hidden="1">'LWVCEF-Stmt of Activ. by Class'!$8:$8,'LWVCEF-Stmt of Activ. by Class'!$10:$10,'LWVCEF-Stmt of Activ. by Class'!$11:$11,'LWVCEF-Stmt of Activ. by Class'!$12:$12,'LWVCEF-Stmt of Activ. by Class'!$13:$13,'LWVCEF-Stmt of Activ. by Class'!$14:$14,'LWVCEF-Stmt of Activ. by Class'!$17:$17,'LWVCEF-Stmt of Activ. by Class'!$18:$18,'LWVCEF-Stmt of Activ. by Class'!$20:$20,'LWVCEF-Stmt of Activ. by Class'!$22:$22,'LWVCEF-Stmt of Activ. by Class'!$23:$23,'LWVCEF-Stmt of Activ. by Class'!#REF!,'LWVCEF-Stmt of Activ. by Class'!$29:$29,'LWVCEF-Stmt of Activ. by Class'!$30:$30,'LWVCEF-Stmt of Activ. by Class'!$31:$31,'LWVCEF-Stmt of Activ. by Class'!$32:$32</definedName>
    <definedName name="QB_DATA_0" localSheetId="8" hidden="1">'LWVCEF-Stmt of Fin. Pos. by mth'!$6:$6,'LWVCEF-Stmt of Fin. Pos. by mth'!$8:$8,'LWVCEF-Stmt of Fin. Pos. by mth'!$9:$9,'LWVCEF-Stmt of Fin. Pos. by mth'!$10:$10,'LWVCEF-Stmt of Fin. Pos. by mth'!$13:$13,'LWVCEF-Stmt of Fin. Pos. by mth'!$16:$16,'LWVCEF-Stmt of Fin. Pos. by mth'!$18:$18,'LWVCEF-Stmt of Fin. Pos. by mth'!$19:$19,'LWVCEF-Stmt of Fin. Pos. by mth'!$22:$22,'LWVCEF-Stmt of Fin. Pos. by mth'!$23:$23,'LWVCEF-Stmt of Fin. Pos. by mth'!$27:$27,'LWVCEF-Stmt of Fin. Pos. by mth'!$28:$28,'LWVCEF-Stmt of Fin. Pos. by mth'!$29:$29,'LWVCEF-Stmt of Fin. Pos. by mth'!$36:$36,'LWVCEF-Stmt of Fin. Pos. by mth'!$40:$40,'LWVCEF-Stmt of Fin. Pos. by mth'!$41:$41</definedName>
    <definedName name="QB_DATA_0" localSheetId="7" hidden="1">'LWVCEF-Stmt. of Act. by Month'!$6:$6,'LWVCEF-Stmt. of Act. by Month'!$8:$8,'LWVCEF-Stmt. of Act. by Month'!$9:$9,'LWVCEF-Stmt. of Act. by Month'!$10:$10,'LWVCEF-Stmt. of Act. by Month'!$11:$11,'LWVCEF-Stmt. of Act. by Month'!$12:$12,'LWVCEF-Stmt. of Act. by Month'!$13:$13,'LWVCEF-Stmt. of Act. by Month'!$14:$14,'LWVCEF-Stmt. of Act. by Month'!$17:$17,'LWVCEF-Stmt. of Act. by Month'!$18:$18,'LWVCEF-Stmt. of Act. by Month'!$19:$19,'LWVCEF-Stmt. of Act. by Month'!$20:$20,'LWVCEF-Stmt. of Act. by Month'!$22:$22,'LWVCEF-Stmt. of Act. by Month'!$23:$23,'LWVCEF-Stmt. of Act. by Month'!$24:$24,'LWVCEF-Stmt. of Act. by Month'!$27:$27</definedName>
    <definedName name="QB_DATA_0" localSheetId="2" hidden="1">'LWVC-Stmt of Act. by Class'!$7:$7,'LWVC-Stmt of Act. by Class'!$8:$8,'LWVC-Stmt of Act. by Class'!$9:$9,'LWVC-Stmt of Act. by Class'!$13:$13,'LWVC-Stmt of Act. by Class'!$14:$14,'LWVC-Stmt of Act. by Class'!$15:$15,'LWVC-Stmt of Act. by Class'!$17:$17,'LWVC-Stmt of Act. by Class'!$18:$18,'LWVC-Stmt of Act. by Class'!$19:$19,'LWVC-Stmt of Act. by Class'!$22:$22,'LWVC-Stmt of Act. by Class'!$23:$23,'LWVC-Stmt of Act. by Class'!$24:$24,'LWVC-Stmt of Act. by Class'!$25:$25,'LWVC-Stmt of Act. by Class'!$27:$27,'LWVC-Stmt of Act. by Class'!$29:$29,'LWVC-Stmt of Act. by Class'!$30:$30</definedName>
    <definedName name="QB_DATA_0" localSheetId="3" hidden="1">'LWVC-Stmt of Activities by Mth'!$5:$5,'LWVC-Stmt of Activities by Mth'!$6:$6,'LWVC-Stmt of Activities by Mth'!$7:$7,'LWVC-Stmt of Activities by Mth'!$10:$10,'LWVC-Stmt of Activities by Mth'!$11:$11,'LWVC-Stmt of Activities by Mth'!$12:$12,'LWVC-Stmt of Activities by Mth'!$13:$13,'LWVC-Stmt of Activities by Mth'!$14:$14,'LWVC-Stmt of Activities by Mth'!$15:$15,'LWVC-Stmt of Activities by Mth'!$18:$18,'LWVC-Stmt of Activities by Mth'!$19:$19,'LWVC-Stmt of Activities by Mth'!$20:$20,'LWVC-Stmt of Activities by Mth'!$21:$21,'LWVC-Stmt of Activities by Mth'!$22:$22,'LWVC-Stmt of Activities by Mth'!$23:$23,'LWVC-Stmt of Activities by Mth'!$25:$25</definedName>
    <definedName name="QB_DATA_0" localSheetId="4" hidden="1">'LWVC-Stmt of Fin. Postn. by Mth'!$6:$6,'LWVC-Stmt of Fin. Postn. by Mth'!$7:$7,'LWVC-Stmt of Fin. Postn. by Mth'!$11:$11,'LWVC-Stmt of Fin. Postn. by Mth'!$14:$14,'LWVC-Stmt of Fin. Postn. by Mth'!$15:$15,'LWVC-Stmt of Fin. Postn. by Mth'!$16:$16,'LWVC-Stmt of Fin. Postn. by Mth'!$18:$18,'LWVC-Stmt of Fin. Postn. by Mth'!$19:$19,'LWVC-Stmt of Fin. Postn. by Mth'!$21:$21,'LWVC-Stmt of Fin. Postn. by Mth'!$22:$22,'LWVC-Stmt of Fin. Postn. by Mth'!$26:$26,'LWVC-Stmt of Fin. Postn. by Mth'!$27:$27,'LWVC-Stmt of Fin. Postn. by Mth'!$28:$28,'LWVC-Stmt of Fin. Postn. by Mth'!$31:$31,'LWVC-Stmt of Fin. Postn. by Mth'!$38:$38,'LWVC-Stmt of Fin. Postn. by Mth'!$43:$43</definedName>
    <definedName name="QB_DATA_1" localSheetId="9" hidden="1">'FASB117 '!$36:$36,'FASB117 '!$43:$43,'FASB117 '!$44:$44,'FASB117 '!$45:$45,'FASB117 '!$47:$47,'FASB117 '!$48:$48,'FASB117 '!$49:$49,'FASB117 '!$50:$50,'FASB117 '!$51:$51,'FASB117 '!$52:$52,'FASB117 '!$53:$53,'FASB117 '!$54:$54,'FASB117 '!$55:$55,'FASB117 '!$56:$56,'FASB117 '!$57:$57,'FASB117 '!$58:$58</definedName>
    <definedName name="QB_DATA_1" localSheetId="6" hidden="1">'LWVCEF-Stmt of Activ. by Class'!$33:$33,'LWVCEF-Stmt of Activ. by Class'!$34:$34,'LWVCEF-Stmt of Activ. by Class'!$35:$35,'LWVCEF-Stmt of Activ. by Class'!$36:$36,'LWVCEF-Stmt of Activ. by Class'!$37:$37,'LWVCEF-Stmt of Activ. by Class'!$38:$38,'LWVCEF-Stmt of Activ. by Class'!$39:$39,'LWVCEF-Stmt of Activ. by Class'!$40:$40,'LWVCEF-Stmt of Activ. by Class'!$41:$41,'LWVCEF-Stmt of Activ. by Class'!$42:$42,'LWVCEF-Stmt of Activ. by Class'!$43:$43,'LWVCEF-Stmt of Activ. by Class'!$44:$44,'LWVCEF-Stmt of Activ. by Class'!$45:$45</definedName>
    <definedName name="QB_DATA_1" localSheetId="8" hidden="1">'LWVCEF-Stmt of Fin. Pos. by mth'!$44:$44,'LWVCEF-Stmt of Fin. Pos. by mth'!$45:$45,'LWVCEF-Stmt of Fin. Pos. by mth'!$46:$46,'LWVCEF-Stmt of Fin. Pos. by mth'!$47:$47,'LWVCEF-Stmt of Fin. Pos. by mth'!$48:$48,'LWVCEF-Stmt of Fin. Pos. by mth'!$49:$49,'LWVCEF-Stmt of Fin. Pos. by mth'!$50:$50,'LWVCEF-Stmt of Fin. Pos. by mth'!$51:$51,'LWVCEF-Stmt of Fin. Pos. by mth'!$52:$52,'LWVCEF-Stmt of Fin. Pos. by mth'!$53:$53,'LWVCEF-Stmt of Fin. Pos. by mth'!$54:$54,'LWVCEF-Stmt of Fin. Pos. by mth'!$55:$55,'LWVCEF-Stmt of Fin. Pos. by mth'!$56:$56,'LWVCEF-Stmt of Fin. Pos. by mth'!$57:$57,'LWVCEF-Stmt of Fin. Pos. by mth'!$58:$58,'LWVCEF-Stmt of Fin. Pos. by mth'!$59:$59</definedName>
    <definedName name="QB_DATA_1" localSheetId="7" hidden="1">'LWVCEF-Stmt. of Act. by Month'!$31:$31,'LWVCEF-Stmt. of Act. by Month'!$32:$32,'LWVCEF-Stmt. of Act. by Month'!$33:$33,'LWVCEF-Stmt. of Act. by Month'!$34:$34,'LWVCEF-Stmt. of Act. by Month'!$35:$35,'LWVCEF-Stmt. of Act. by Month'!$36:$36,'LWVCEF-Stmt. of Act. by Month'!$37:$37,'LWVCEF-Stmt. of Act. by Month'!$38:$38,'LWVCEF-Stmt. of Act. by Month'!$39:$39,'LWVCEF-Stmt. of Act. by Month'!$40:$40,'LWVCEF-Stmt. of Act. by Month'!$41:$41,'LWVCEF-Stmt. of Act. by Month'!$42:$42,'LWVCEF-Stmt. of Act. by Month'!$43:$43,'LWVCEF-Stmt. of Act. by Month'!$44:$44,'LWVCEF-Stmt. of Act. by Month'!#REF!</definedName>
    <definedName name="QB_DATA_1" localSheetId="2" hidden="1">'LWVC-Stmt of Act. by Class'!$31:$31,'LWVC-Stmt of Act. by Class'!#REF!,'LWVC-Stmt of Act. by Class'!$33:$33,'LWVC-Stmt of Act. by Class'!$34:$34,'LWVC-Stmt of Act. by Class'!$36:$36,'LWVC-Stmt of Act. by Class'!$39:$39,'LWVC-Stmt of Act. by Class'!$40:$40,'LWVC-Stmt of Act. by Class'!$41:$41,'LWVC-Stmt of Act. by Class'!$42:$42,'LWVC-Stmt of Act. by Class'!$43:$43,'LWVC-Stmt of Act. by Class'!$44:$44,'LWVC-Stmt of Act. by Class'!$45:$45,'LWVC-Stmt of Act. by Class'!$46:$46,'LWVC-Stmt of Act. by Class'!$47:$47,'LWVC-Stmt of Act. by Class'!$48:$48,'LWVC-Stmt of Act. by Class'!$49:$49</definedName>
    <definedName name="QB_DATA_1" localSheetId="3" hidden="1">'LWVC-Stmt of Activities by Mth'!$26:$26,'LWVC-Stmt of Activities by Mth'!$27:$27,'LWVC-Stmt of Activities by Mth'!$28:$28,'LWVC-Stmt of Activities by Mth'!$31:$31,'LWVC-Stmt of Activities by Mth'!$32:$32,'LWVC-Stmt of Activities by Mth'!$33:$33,'LWVC-Stmt of Activities by Mth'!$35:$35,'LWVC-Stmt of Activities by Mth'!$38:$38,'LWVC-Stmt of Activities by Mth'!$39:$39,'LWVC-Stmt of Activities by Mth'!$40:$40,'LWVC-Stmt of Activities by Mth'!$41:$41,'LWVC-Stmt of Activities by Mth'!$42:$42,'LWVC-Stmt of Activities by Mth'!$43:$43,'LWVC-Stmt of Activities by Mth'!$44:$44,'LWVC-Stmt of Activities by Mth'!$45:$45,'LWVC-Stmt of Activities by Mth'!$46:$46</definedName>
    <definedName name="QB_DATA_1" localSheetId="4" hidden="1">'LWVC-Stmt of Fin. Postn. by Mth'!$44:$44,'LWVC-Stmt of Fin. Postn. by Mth'!$45:$45,'LWVC-Stmt of Fin. Postn. by Mth'!$47:$47,'LWVC-Stmt of Fin. Postn. by Mth'!$52:$52,'LWVC-Stmt of Fin. Postn. by Mth'!$56:$56,'LWVC-Stmt of Fin. Postn. by Mth'!$57:$57,'LWVC-Stmt of Fin. Postn. by Mth'!$59:$59,'LWVC-Stmt of Fin. Postn. by Mth'!$60:$60,'LWVC-Stmt of Fin. Postn. by Mth'!$61:$61,'LWVC-Stmt of Fin. Postn. by Mth'!$62:$62,'LWVC-Stmt of Fin. Postn. by Mth'!$66:$66,'LWVC-Stmt of Fin. Postn. by Mth'!$70:$70,'LWVC-Stmt of Fin. Postn. by Mth'!$72:$72,'LWVC-Stmt of Fin. Postn. by Mth'!$73:$73,'LWVC-Stmt of Fin. Postn. by Mth'!$74:$74,'LWVC-Stmt of Fin. Postn. by Mth'!$75:$75</definedName>
    <definedName name="QB_DATA_2" localSheetId="9" hidden="1">'FASB117 '!$59:$59,'FASB117 '!$60:$60</definedName>
    <definedName name="QB_DATA_2" localSheetId="8" hidden="1">'LWVCEF-Stmt of Fin. Pos. by mth'!$61:$61,'LWVCEF-Stmt of Fin. Pos. by mth'!$62:$62,'LWVCEF-Stmt of Fin. Pos. by mth'!$64:$64,'LWVCEF-Stmt of Fin. Pos. by mth'!$65:$65,'LWVCEF-Stmt of Fin. Pos. by mth'!$66:$66,'LWVCEF-Stmt of Fin. Pos. by mth'!$67:$67,'LWVCEF-Stmt of Fin. Pos. by mth'!$68:$68,'LWVCEF-Stmt of Fin. Pos. by mth'!$69:$69,'LWVCEF-Stmt of Fin. Pos. by mth'!$70:$70,'LWVCEF-Stmt of Fin. Pos. by mth'!$71:$71,'LWVCEF-Stmt of Fin. Pos. by mth'!$72:$72,'LWVCEF-Stmt of Fin. Pos. by mth'!$73:$73,'LWVCEF-Stmt of Fin. Pos. by mth'!$74:$74,'LWVCEF-Stmt of Fin. Pos. by mth'!$75:$75,'LWVCEF-Stmt of Fin. Pos. by mth'!$76:$76,'LWVCEF-Stmt of Fin. Pos. by mth'!$77:$77</definedName>
    <definedName name="QB_DATA_2" localSheetId="2" hidden="1">'LWVC-Stmt of Act. by Class'!$50:$50,'LWVC-Stmt of Act. by Class'!$51:$51,'LWVC-Stmt of Act. by Class'!$52:$52,'LWVC-Stmt of Act. by Class'!$53:$53,'LWVC-Stmt of Act. by Class'!$54:$54,'LWVC-Stmt of Act. by Class'!$55:$55,'LWVC-Stmt of Act. by Class'!$56:$56,'LWVC-Stmt of Act. by Class'!#REF!</definedName>
    <definedName name="QB_DATA_2" localSheetId="3" hidden="1">'LWVC-Stmt of Activities by Mth'!$47:$47,'LWVC-Stmt of Activities by Mth'!$48:$48,'LWVC-Stmt of Activities by Mth'!$49:$49,'LWVC-Stmt of Activities by Mth'!$50:$50,'LWVC-Stmt of Activities by Mth'!$51:$51,'LWVC-Stmt of Activities by Mth'!$52:$52,'LWVC-Stmt of Activities by Mth'!$53:$53,'LWVC-Stmt of Activities by Mth'!$54:$54,'LWVC-Stmt of Activities by Mth'!#REF!</definedName>
    <definedName name="QB_DATA_2" localSheetId="4" hidden="1">'LWVC-Stmt of Fin. Postn. by Mth'!$78:$78,'LWVC-Stmt of Fin. Postn. by Mth'!$80:$80</definedName>
    <definedName name="QB_DATA_3" localSheetId="8" hidden="1">'LWVCEF-Stmt of Fin. Pos. by mth'!$78:$78,'LWVCEF-Stmt of Fin. Pos. by mth'!$80:$80,'LWVCEF-Stmt of Fin. Pos. by mth'!#REF!,'LWVCEF-Stmt of Fin. Pos. by mth'!$81:$81,'LWVCEF-Stmt of Fin. Pos. by mth'!$86:$86,'LWVCEF-Stmt of Fin. Pos. by mth'!$88:$88,'LWVCEF-Stmt of Fin. Pos. by mth'!$89:$89,'LWVCEF-Stmt of Fin. Pos. by mth'!$92:$92,'LWVCEF-Stmt of Fin. Pos. by mth'!$94:$94,'LWVCEF-Stmt of Fin. Pos. by mth'!$97:$97,'LWVCEF-Stmt of Fin. Pos. by mth'!$98:$98,'LWVCEF-Stmt of Fin. Pos. by mth'!$99:$99,'LWVCEF-Stmt of Fin. Pos. by mth'!$101:$101,'LWVCEF-Stmt of Fin. Pos. by mth'!#REF!</definedName>
    <definedName name="QB_FORMULA_0" localSheetId="9" hidden="1">'FASB117 '!$H$8,'FASB117 '!$H$19,'FASB117 '!$H$26,'FASB117 '!$H$33,'FASB117 '!$H$34,'FASB117 '!$H$37,'FASB117 '!#REF!,'FASB117 '!$H$61,'FASB117 '!$H$62,'FASB117 '!#REF!</definedName>
    <definedName name="QB_FORMULA_0" localSheetId="6" hidden="1">'LWVCEF-Stmt of Activ. by Class'!$P$8,'LWVCEF-Stmt of Activ. by Class'!$R$8,'LWVCEF-Stmt of Activ. by Class'!$AR$8,'LWVCEF-Stmt of Activ. by Class'!$BD$8,'LWVCEF-Stmt of Activ. by Class'!$BP$8,'LWVCEF-Stmt of Activ. by Class'!$CB$8,'LWVCEF-Stmt of Activ. by Class'!$CF$8,'LWVCEF-Stmt of Activ. by Class'!$CN$8,'LWVCEF-Stmt of Activ. by Class'!$CP$8,'LWVCEF-Stmt of Activ. by Class'!$H$9,'LWVCEF-Stmt of Activ. by Class'!$L$9,'LWVCEF-Stmt of Activ. by Class'!$N$9,'LWVCEF-Stmt of Activ. by Class'!$P$9,'LWVCEF-Stmt of Activ. by Class'!$R$9,'LWVCEF-Stmt of Activ. by Class'!$T$9,'LWVCEF-Stmt of Activ. by Class'!$X$9</definedName>
    <definedName name="QB_FORMULA_0" localSheetId="8" hidden="1">'LWVCEF-Stmt of Fin. Pos. by mth'!$H$7,'LWVCEF-Stmt of Fin. Pos. by mth'!$J$7,'LWVCEF-Stmt of Fin. Pos. by mth'!$L$7,'LWVCEF-Stmt of Fin. Pos. by mth'!$N$7,'LWVCEF-Stmt of Fin. Pos. by mth'!$P$7,'LWVCEF-Stmt of Fin. Pos. by mth'!$R$7,'LWVCEF-Stmt of Fin. Pos. by mth'!$T$7,'LWVCEF-Stmt of Fin. Pos. by mth'!$V$7,'LWVCEF-Stmt of Fin. Pos. by mth'!$X$7,'LWVCEF-Stmt of Fin. Pos. by mth'!$Z$7,'LWVCEF-Stmt of Fin. Pos. by mth'!$AB$7,'LWVCEF-Stmt of Fin. Pos. by mth'!$AD$7,'LWVCEF-Stmt of Fin. Pos. by mth'!$H$11,'LWVCEF-Stmt of Fin. Pos. by mth'!$J$11,'LWVCEF-Stmt of Fin. Pos. by mth'!$L$11,'LWVCEF-Stmt of Fin. Pos. by mth'!$N$11</definedName>
    <definedName name="QB_FORMULA_0" localSheetId="7" hidden="1">'LWVCEF-Stmt. of Act. by Month'!$AF$6,'LWVCEF-Stmt. of Act. by Month'!$H$7,'LWVCEF-Stmt. of Act. by Month'!$J$7,'LWVCEF-Stmt. of Act. by Month'!$L$7,'LWVCEF-Stmt. of Act. by Month'!$N$7,'LWVCEF-Stmt. of Act. by Month'!$P$7,'LWVCEF-Stmt. of Act. by Month'!$R$7,'LWVCEF-Stmt. of Act. by Month'!$T$7,'LWVCEF-Stmt. of Act. by Month'!$V$7,'LWVCEF-Stmt. of Act. by Month'!$X$7,'LWVCEF-Stmt. of Act. by Month'!$Z$7,'LWVCEF-Stmt. of Act. by Month'!$AB$7,'LWVCEF-Stmt. of Act. by Month'!$AD$7,'LWVCEF-Stmt. of Act. by Month'!$AF$7,'LWVCEF-Stmt. of Act. by Month'!$AF$8,'LWVCEF-Stmt. of Act. by Month'!$AF$9</definedName>
    <definedName name="QB_FORMULA_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0" localSheetId="3" hidden="1">'LWVC-Stmt of Activities by Mth'!$AF$5,'LWVC-Stmt of Activities by Mth'!$AF$6,'LWVC-Stmt of Activities by Mth'!$AF$7,'LWVC-Stmt of Activities by Mth'!$H$8,'LWVC-Stmt of Activities by Mth'!$J$8,'LWVC-Stmt of Activities by Mth'!$L$8,'LWVC-Stmt of Activities by Mth'!$N$8,'LWVC-Stmt of Activities by Mth'!$P$8,'LWVC-Stmt of Activities by Mth'!$R$8,'LWVC-Stmt of Activities by Mth'!$T$8,'LWVC-Stmt of Activities by Mth'!$V$8,'LWVC-Stmt of Activities by Mth'!$X$8,'LWVC-Stmt of Activities by Mth'!$Z$8,'LWVC-Stmt of Activities by Mth'!$AB$8,'LWVC-Stmt of Activities by Mth'!$AD$8,'LWVC-Stmt of Activities by Mth'!$AF$8</definedName>
    <definedName name="QB_FORMULA_0" localSheetId="4" hidden="1">'LWVC-Stmt of Fin. Postn. by Mth'!$H$8,'LWVC-Stmt of Fin. Postn. by Mth'!$J$8,'LWVC-Stmt of Fin. Postn. by Mth'!$L$8,'LWVC-Stmt of Fin. Postn. by Mth'!$N$8,'LWVC-Stmt of Fin. Postn. by Mth'!$P$8,'LWVC-Stmt of Fin. Postn. by Mth'!$R$8,'LWVC-Stmt of Fin. Postn. by Mth'!$T$8,'LWVC-Stmt of Fin. Postn. by Mth'!$V$8,'LWVC-Stmt of Fin. Postn. by Mth'!$X$8,'LWVC-Stmt of Fin. Postn. by Mth'!$Z$8,'LWVC-Stmt of Fin. Postn. by Mth'!$AB$8,'LWVC-Stmt of Fin. Postn. by Mth'!$AD$8,'LWVC-Stmt of Fin. Postn. by Mth'!$H$9,'LWVC-Stmt of Fin. Postn. by Mth'!$J$9,'LWVC-Stmt of Fin. Postn. by Mth'!$L$9,'LWVC-Stmt of Fin. Postn. by Mth'!$N$9</definedName>
    <definedName name="QB_FORMULA_1" localSheetId="6" hidden="1">'LWVCEF-Stmt of Activ. by Class'!$AJ$9,'LWVCEF-Stmt of Activ. by Class'!$AN$9,'LWVCEF-Stmt of Activ. by Class'!$AR$9,'LWVCEF-Stmt of Activ. by Class'!$AV$9,'LWVCEF-Stmt of Activ. by Class'!$AZ$9,'LWVCEF-Stmt of Activ. by Class'!$BD$9,'LWVCEF-Stmt of Activ. by Class'!$BH$9,'LWVCEF-Stmt of Activ. by Class'!$BL$9,'LWVCEF-Stmt of Activ. by Class'!$BP$9,'LWVCEF-Stmt of Activ. by Class'!$BT$9,'LWVCEF-Stmt of Activ. by Class'!$BX$9,'LWVCEF-Stmt of Activ. by Class'!$CB$9,'LWVCEF-Stmt of Activ. by Class'!$CF$9,'LWVCEF-Stmt of Activ. by Class'!$CN$9,'LWVCEF-Stmt of Activ. by Class'!$CP$9,'LWVCEF-Stmt of Activ. by Class'!$P$10</definedName>
    <definedName name="QB_FORMULA_1" localSheetId="8" hidden="1">'LWVCEF-Stmt of Fin. Pos. by mth'!$P$11,'LWVCEF-Stmt of Fin. Pos. by mth'!$R$11,'LWVCEF-Stmt of Fin. Pos. by mth'!$T$11,'LWVCEF-Stmt of Fin. Pos. by mth'!$V$11,'LWVCEF-Stmt of Fin. Pos. by mth'!$X$11,'LWVCEF-Stmt of Fin. Pos. by mth'!$Z$11,'LWVCEF-Stmt of Fin. Pos. by mth'!$AB$11,'LWVCEF-Stmt of Fin. Pos. by mth'!$AD$11,'LWVCEF-Stmt of Fin. Pos. by mth'!$H$14,'LWVCEF-Stmt of Fin. Pos. by mth'!$J$14,'LWVCEF-Stmt of Fin. Pos. by mth'!$L$14,'LWVCEF-Stmt of Fin. Pos. by mth'!$N$14,'LWVCEF-Stmt of Fin. Pos. by mth'!$P$14,'LWVCEF-Stmt of Fin. Pos. by mth'!$R$14,'LWVCEF-Stmt of Fin. Pos. by mth'!$T$14,'LWVCEF-Stmt of Fin. Pos. by mth'!$V$14</definedName>
    <definedName name="QB_FORMULA_1" localSheetId="7" hidden="1">'LWVCEF-Stmt. of Act. by Month'!$AF$10,'LWVCEF-Stmt. of Act. by Month'!$AF$11,'LWVCEF-Stmt. of Act. by Month'!$AF$12,'LWVCEF-Stmt. of Act. by Month'!$AF$13,'LWVCEF-Stmt. of Act. by Month'!$AF$14,'LWVCEF-Stmt. of Act. by Month'!$H$15,'LWVCEF-Stmt. of Act. by Month'!$J$15,'LWVCEF-Stmt. of Act. by Month'!$L$15,'LWVCEF-Stmt. of Act. by Month'!$N$15,'LWVCEF-Stmt. of Act. by Month'!$P$15,'LWVCEF-Stmt. of Act. by Month'!$R$15,'LWVCEF-Stmt. of Act. by Month'!$T$15,'LWVCEF-Stmt. of Act. by Month'!$V$15,'LWVCEF-Stmt. of Act. by Month'!$X$15,'LWVCEF-Stmt. of Act. by Month'!$Z$15,'LWVCEF-Stmt. of Act. by Month'!$AB$15</definedName>
    <definedName name="QB_FORMULA_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" localSheetId="3" hidden="1">'LWVC-Stmt of Activities by Mth'!$AF$10,'LWVC-Stmt of Activities by Mth'!$AF$11,'LWVC-Stmt of Activities by Mth'!$AF$12,'LWVC-Stmt of Activities by Mth'!$AF$13,'LWVC-Stmt of Activities by Mth'!$AF$14,'LWVC-Stmt of Activities by Mth'!$AF$15,'LWVC-Stmt of Activities by Mth'!$H$16,'LWVC-Stmt of Activities by Mth'!$J$16,'LWVC-Stmt of Activities by Mth'!$L$16,'LWVC-Stmt of Activities by Mth'!$N$16,'LWVC-Stmt of Activities by Mth'!$P$16,'LWVC-Stmt of Activities by Mth'!$R$16,'LWVC-Stmt of Activities by Mth'!$T$16,'LWVC-Stmt of Activities by Mth'!$V$16,'LWVC-Stmt of Activities by Mth'!$X$16,'LWVC-Stmt of Activities by Mth'!$Z$16</definedName>
    <definedName name="QB_FORMULA_1" localSheetId="4" hidden="1">'LWVC-Stmt of Fin. Postn. by Mth'!$P$9,'LWVC-Stmt of Fin. Postn. by Mth'!$R$9,'LWVC-Stmt of Fin. Postn. by Mth'!$T$9,'LWVC-Stmt of Fin. Postn. by Mth'!$V$9,'LWVC-Stmt of Fin. Postn. by Mth'!$X$9,'LWVC-Stmt of Fin. Postn. by Mth'!$Z$9,'LWVC-Stmt of Fin. Postn. by Mth'!$AB$9,'LWVC-Stmt of Fin. Postn. by Mth'!$AD$9,'LWVC-Stmt of Fin. Postn. by Mth'!$H$12,'LWVC-Stmt of Fin. Postn. by Mth'!$J$12,'LWVC-Stmt of Fin. Postn. by Mth'!$L$12,'LWVC-Stmt of Fin. Postn. by Mth'!$N$12,'LWVC-Stmt of Fin. Postn. by Mth'!$P$12,'LWVC-Stmt of Fin. Postn. by Mth'!$R$12,'LWVC-Stmt of Fin. Postn. by Mth'!$T$12,'LWVC-Stmt of Fin. Postn. by Mth'!$V$12</definedName>
    <definedName name="QB_FORMULA_10" localSheetId="6" hidden="1">'LWVCEF-Stmt of Activ. by Class'!$BP$21,'LWVCEF-Stmt of Activ. by Class'!$BR$21,'LWVCEF-Stmt of Activ. by Class'!$BT$21,'LWVCEF-Stmt of Activ. by Class'!$BX$21,'LWVCEF-Stmt of Activ. by Class'!$BZ$21,'LWVCEF-Stmt of Activ. by Class'!$CB$21,'LWVCEF-Stmt of Activ. by Class'!$CD$21,'LWVCEF-Stmt of Activ. by Class'!$CF$21,'LWVCEF-Stmt of Activ. by Class'!$CH$21,'LWVCEF-Stmt of Activ. by Class'!$CN$21,'LWVCEF-Stmt of Activ. by Class'!$CP$21,'LWVCEF-Stmt of Activ. by Class'!$P$22,'LWVCEF-Stmt of Activ. by Class'!$R$22,'LWVCEF-Stmt of Activ. by Class'!$AR$22,'LWVCEF-Stmt of Activ. by Class'!$BD$22,'LWVCEF-Stmt of Activ. by Class'!$BP$22</definedName>
    <definedName name="QB_FORMULA_10" localSheetId="8" hidden="1">'LWVCEF-Stmt of Fin. Pos. by mth'!$P$83,'LWVCEF-Stmt of Fin. Pos. by mth'!$R$83,'LWVCEF-Stmt of Fin. Pos. by mth'!$T$83,'LWVCEF-Stmt of Fin. Pos. by mth'!$V$83,'LWVCEF-Stmt of Fin. Pos. by mth'!$X$83,'LWVCEF-Stmt of Fin. Pos. by mth'!$Z$83,'LWVCEF-Stmt of Fin. Pos. by mth'!$AB$83,'LWVCEF-Stmt of Fin. Pos. by mth'!$AD$83,'LWVCEF-Stmt of Fin. Pos. by mth'!$H$84,'LWVCEF-Stmt of Fin. Pos. by mth'!$J$84,'LWVCEF-Stmt of Fin. Pos. by mth'!$L$84,'LWVCEF-Stmt of Fin. Pos. by mth'!$N$84,'LWVCEF-Stmt of Fin. Pos. by mth'!$P$84,'LWVCEF-Stmt of Fin. Pos. by mth'!$R$84,'LWVCEF-Stmt of Fin. Pos. by mth'!$T$84,'LWVCEF-Stmt of Fin. Pos. by mth'!$V$84</definedName>
    <definedName name="QB_FORMULA_10" localSheetId="7" hidden="1">'LWVCEF-Stmt. of Act. by Month'!#REF!</definedName>
    <definedName name="QB_FORMULA_1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0" localSheetId="4" hidden="1">'LWVC-Stmt of Fin. Postn. by Mth'!$P$53,'LWVC-Stmt of Fin. Postn. by Mth'!$R$53,'LWVC-Stmt of Fin. Postn. by Mth'!$T$53,'LWVC-Stmt of Fin. Postn. by Mth'!$V$53,'LWVC-Stmt of Fin. Postn. by Mth'!$X$53,'LWVC-Stmt of Fin. Postn. by Mth'!$Z$53,'LWVC-Stmt of Fin. Postn. by Mth'!$AB$53,'LWVC-Stmt of Fin. Postn. by Mth'!$AD$53,'LWVC-Stmt of Fin. Postn. by Mth'!$H$58,'LWVC-Stmt of Fin. Postn. by Mth'!$J$58,'LWVC-Stmt of Fin. Postn. by Mth'!$L$58,'LWVC-Stmt of Fin. Postn. by Mth'!$N$58,'LWVC-Stmt of Fin. Postn. by Mth'!$P$58,'LWVC-Stmt of Fin. Postn. by Mth'!$R$58,'LWVC-Stmt of Fin. Postn. by Mth'!$T$58,'LWVC-Stmt of Fin. Postn. by Mth'!$V$58</definedName>
    <definedName name="QB_FORMULA_11" localSheetId="6" hidden="1">'LWVCEF-Stmt of Activ. by Class'!$CB$22,'LWVCEF-Stmt of Activ. by Class'!$CF$22,'LWVCEF-Stmt of Activ. by Class'!$CN$22,'LWVCEF-Stmt of Activ. by Class'!$CP$22,'LWVCEF-Stmt of Activ. by Class'!$P$23,'LWVCEF-Stmt of Activ. by Class'!$R$23,'LWVCEF-Stmt of Activ. by Class'!$AR$23,'LWVCEF-Stmt of Activ. by Class'!$BD$23,'LWVCEF-Stmt of Activ. by Class'!$BP$23,'LWVCEF-Stmt of Activ. by Class'!$CB$23,'LWVCEF-Stmt of Activ. by Class'!$CF$23,'LWVCEF-Stmt of Activ. by Class'!$CN$23,'LWVCEF-Stmt of Activ. by Class'!$CP$23,'LWVCEF-Stmt of Activ. by Class'!$H$25,'LWVCEF-Stmt of Activ. by Class'!$J$25,'LWVCEF-Stmt of Activ. by Class'!$L$25</definedName>
    <definedName name="QB_FORMULA_11" localSheetId="8" hidden="1">'LWVCEF-Stmt of Fin. Pos. by mth'!$X$84,'LWVCEF-Stmt of Fin. Pos. by mth'!$Z$84,'LWVCEF-Stmt of Fin. Pos. by mth'!$AB$84,'LWVCEF-Stmt of Fin. Pos. by mth'!$AD$84,'LWVCEF-Stmt of Fin. Pos. by mth'!$H$90,'LWVCEF-Stmt of Fin. Pos. by mth'!$J$90,'LWVCEF-Stmt of Fin. Pos. by mth'!$L$90,'LWVCEF-Stmt of Fin. Pos. by mth'!$N$90,'LWVCEF-Stmt of Fin. Pos. by mth'!$P$90,'LWVCEF-Stmt of Fin. Pos. by mth'!$R$90,'LWVCEF-Stmt of Fin. Pos. by mth'!$T$90,'LWVCEF-Stmt of Fin. Pos. by mth'!$V$90,'LWVCEF-Stmt of Fin. Pos. by mth'!$X$90,'LWVCEF-Stmt of Fin. Pos. by mth'!$Z$90,'LWVCEF-Stmt of Fin. Pos. by mth'!$AB$90,'LWVCEF-Stmt of Fin. Pos. by mth'!$AD$90</definedName>
    <definedName name="QB_FORMULA_1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1" localSheetId="4" hidden="1">'LWVC-Stmt of Fin. Postn. by Mth'!$X$58,'LWVC-Stmt of Fin. Postn. by Mth'!$Z$58,'LWVC-Stmt of Fin. Postn. by Mth'!$AB$58,'LWVC-Stmt of Fin. Postn. by Mth'!$AD$58,'LWVC-Stmt of Fin. Postn. by Mth'!$H$63,'LWVC-Stmt of Fin. Postn. by Mth'!$J$63,'LWVC-Stmt of Fin. Postn. by Mth'!$L$63,'LWVC-Stmt of Fin. Postn. by Mth'!$N$63,'LWVC-Stmt of Fin. Postn. by Mth'!$P$63,'LWVC-Stmt of Fin. Postn. by Mth'!$R$63,'LWVC-Stmt of Fin. Postn. by Mth'!$T$63,'LWVC-Stmt of Fin. Postn. by Mth'!$V$63,'LWVC-Stmt of Fin. Postn. by Mth'!$X$63,'LWVC-Stmt of Fin. Postn. by Mth'!$Z$63,'LWVC-Stmt of Fin. Postn. by Mth'!$AB$63,'LWVC-Stmt of Fin. Postn. by Mth'!$AD$63</definedName>
    <definedName name="QB_FORMULA_12" localSheetId="6" hidden="1">'LWVCEF-Stmt of Activ. by Class'!$N$25,'LWVCEF-Stmt of Activ. by Class'!$P$25,'LWVCEF-Stmt of Activ. by Class'!$R$25,'LWVCEF-Stmt of Activ. by Class'!$T$25,'LWVCEF-Stmt of Activ. by Class'!$V$25,'LWVCEF-Stmt of Activ. by Class'!$X$25,'LWVCEF-Stmt of Activ. by Class'!$AJ$25,'LWVCEF-Stmt of Activ. by Class'!$AL$25,'LWVCEF-Stmt of Activ. by Class'!$AN$25,'LWVCEF-Stmt of Activ. by Class'!$AP$25,'LWVCEF-Stmt of Activ. by Class'!$AR$25,'LWVCEF-Stmt of Activ. by Class'!$AT$25,'LWVCEF-Stmt of Activ. by Class'!$AV$25,'LWVCEF-Stmt of Activ. by Class'!$AZ$25,'LWVCEF-Stmt of Activ. by Class'!$BB$25,'LWVCEF-Stmt of Activ. by Class'!$BD$25</definedName>
    <definedName name="QB_FORMULA_12" localSheetId="8" hidden="1">'LWVCEF-Stmt of Fin. Pos. by mth'!$H$95,'LWVCEF-Stmt of Fin. Pos. by mth'!$J$95,'LWVCEF-Stmt of Fin. Pos. by mth'!$L$95,'LWVCEF-Stmt of Fin. Pos. by mth'!$N$95,'LWVCEF-Stmt of Fin. Pos. by mth'!$P$95,'LWVCEF-Stmt of Fin. Pos. by mth'!$R$95,'LWVCEF-Stmt of Fin. Pos. by mth'!$T$95,'LWVCEF-Stmt of Fin. Pos. by mth'!$V$95,'LWVCEF-Stmt of Fin. Pos. by mth'!$X$95,'LWVCEF-Stmt of Fin. Pos. by mth'!$Z$95,'LWVCEF-Stmt of Fin. Pos. by mth'!$AB$95,'LWVCEF-Stmt of Fin. Pos. by mth'!$AD$95,'LWVCEF-Stmt of Fin. Pos. by mth'!$H$100,'LWVCEF-Stmt of Fin. Pos. by mth'!$J$100,'LWVCEF-Stmt of Fin. Pos. by mth'!$L$100,'LWVCEF-Stmt of Fin. Pos. by mth'!$N$100</definedName>
    <definedName name="QB_FORMULA_1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2" localSheetId="4" hidden="1">'LWVC-Stmt of Fin. Postn. by Mth'!$H$64,'LWVC-Stmt of Fin. Postn. by Mth'!$J$64,'LWVC-Stmt of Fin. Postn. by Mth'!$L$64,'LWVC-Stmt of Fin. Postn. by Mth'!$N$64,'LWVC-Stmt of Fin. Postn. by Mth'!$P$64,'LWVC-Stmt of Fin. Postn. by Mth'!$R$64,'LWVC-Stmt of Fin. Postn. by Mth'!$T$64,'LWVC-Stmt of Fin. Postn. by Mth'!$V$64,'LWVC-Stmt of Fin. Postn. by Mth'!$X$64,'LWVC-Stmt of Fin. Postn. by Mth'!$Z$64,'LWVC-Stmt of Fin. Postn. by Mth'!$AB$64,'LWVC-Stmt of Fin. Postn. by Mth'!$AD$64,'LWVC-Stmt of Fin. Postn. by Mth'!$H$67,'LWVC-Stmt of Fin. Postn. by Mth'!$J$67,'LWVC-Stmt of Fin. Postn. by Mth'!$L$67,'LWVC-Stmt of Fin. Postn. by Mth'!$N$67</definedName>
    <definedName name="QB_FORMULA_13" localSheetId="6" hidden="1">'LWVCEF-Stmt of Activ. by Class'!$BF$25,'LWVCEF-Stmt of Activ. by Class'!$BH$25,'LWVCEF-Stmt of Activ. by Class'!$BL$25,'LWVCEF-Stmt of Activ. by Class'!$BN$25,'LWVCEF-Stmt of Activ. by Class'!$BP$25,'LWVCEF-Stmt of Activ. by Class'!$BR$25,'LWVCEF-Stmt of Activ. by Class'!$BT$25,'LWVCEF-Stmt of Activ. by Class'!$BX$25,'LWVCEF-Stmt of Activ. by Class'!$BZ$25,'LWVCEF-Stmt of Activ. by Class'!$CB$25,'LWVCEF-Stmt of Activ. by Class'!$CD$25,'LWVCEF-Stmt of Activ. by Class'!$CF$25,'LWVCEF-Stmt of Activ. by Class'!$CH$25,'LWVCEF-Stmt of Activ. by Class'!$CN$25,'LWVCEF-Stmt of Activ. by Class'!$CP$25,'LWVCEF-Stmt of Activ. by Class'!#REF!</definedName>
    <definedName name="QB_FORMULA_13" localSheetId="8" hidden="1">'LWVCEF-Stmt of Fin. Pos. by mth'!$P$100,'LWVCEF-Stmt of Fin. Pos. by mth'!$R$100,'LWVCEF-Stmt of Fin. Pos. by mth'!$T$100,'LWVCEF-Stmt of Fin. Pos. by mth'!$V$100,'LWVCEF-Stmt of Fin. Pos. by mth'!$X$100,'LWVCEF-Stmt of Fin. Pos. by mth'!$Z$100,'LWVCEF-Stmt of Fin. Pos. by mth'!$AB$100,'LWVCEF-Stmt of Fin. Pos. by mth'!$AD$100,'LWVCEF-Stmt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3" localSheetId="4" hidden="1">'LWVC-Stmt of Fin. Postn. by Mth'!$P$67,'LWVC-Stmt of Fin. Postn. by Mth'!$R$67,'LWVC-Stmt of Fin. Postn. by Mth'!$T$67,'LWVC-Stmt of Fin. Postn. by Mth'!$V$67,'LWVC-Stmt of Fin. Postn. by Mth'!$X$67,'LWVC-Stmt of Fin. Postn. by Mth'!$Z$67,'LWVC-Stmt of Fin. Postn. by Mth'!$AB$67,'LWVC-Stmt of Fin. Postn. by Mth'!$AD$67,'LWVC-Stmt of Fin. Postn. by Mth'!$H$68,'LWVC-Stmt of Fin. Postn. by Mth'!$J$68,'LWVC-Stmt of Fin. Postn. by Mth'!$L$68,'LWVC-Stmt of Fin. Postn. by Mth'!$N$68,'LWVC-Stmt of Fin. Postn. by Mth'!$P$68,'LWVC-Stmt of Fin. Postn. by Mth'!$R$68,'LWVC-Stmt of Fin. Postn. by Mth'!$T$68,'LWVC-Stmt of Fin. Postn. by Mth'!$V$68</definedName>
    <definedName name="QB_FORMULA_14" localSheetId="6" hidden="1">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</definedName>
    <definedName name="QB_FORMULA_14" localSheetId="8" hidden="1">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4" localSheetId="4" hidden="1">'LWVC-Stmt of Fin. Postn. by Mth'!$X$68,'LWVC-Stmt of Fin. Postn. by Mth'!$Z$68,'LWVC-Stmt of Fin. Postn. by Mth'!$AB$68,'LWVC-Stmt of Fin. Postn. by Mth'!$AD$68,'LWVC-Stmt of Fin. Postn. by Mth'!$H$75,'LWVC-Stmt of Fin. Postn. by Mth'!$J$75,'LWVC-Stmt of Fin. Postn. by Mth'!$L$75,'LWVC-Stmt of Fin. Postn. by Mth'!$N$75,'LWVC-Stmt of Fin. Postn. by Mth'!$P$75,'LWVC-Stmt of Fin. Postn. by Mth'!$R$75,'LWVC-Stmt of Fin. Postn. by Mth'!$T$75,'LWVC-Stmt of Fin. Postn. by Mth'!$V$75,'LWVC-Stmt of Fin. Postn. by Mth'!$X$75,'LWVC-Stmt of Fin. Postn. by Mth'!$Z$75,'LWVC-Stmt of Fin. Postn. by Mth'!$AB$75,'LWVC-Stmt of Fin. Postn. by Mth'!$AD$75</definedName>
    <definedName name="QB_FORMULA_15" localSheetId="6" hidden="1">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Class'!#REF!,'LWVCEF-Stmt of Activ. by Class'!$H$27,'LWVCEF-Stmt of Activ. by Class'!$J$27,'LWVCEF-Stmt of Activ. by Class'!$L$27,'LWVCEF-Stmt of Activ. by Class'!$N$27,'LWVCEF-Stmt of Activ. by Class'!$P$27</definedName>
    <definedName name="QB_FORMULA_15" localSheetId="8" hidden="1">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5" localSheetId="4" hidden="1">'LWVC-Stmt of Fin. Postn. by Mth'!$H$78,'LWVC-Stmt of Fin. Postn. by Mth'!$J$78,'LWVC-Stmt of Fin. Postn. by Mth'!$L$78,'LWVC-Stmt of Fin. Postn. by Mth'!$N$78,'LWVC-Stmt of Fin. Postn. by Mth'!$P$78,'LWVC-Stmt of Fin. Postn. by Mth'!$R$78,'LWVC-Stmt of Fin. Postn. by Mth'!$T$78,'LWVC-Stmt of Fin. Postn. by Mth'!$V$78,'LWVC-Stmt of Fin. Postn. by Mth'!$X$78,'LWVC-Stmt of Fin. Postn. by Mth'!$Z$78,'LWVC-Stmt of Fin. Postn. by Mth'!$AB$78,'LWVC-Stmt of Fin. Postn. by Mth'!$AD$78,'LWVC-Stmt of Fin. Postn. by Mth'!$H$80,'LWVC-Stmt of Fin. Postn. by Mth'!$J$80,'LWVC-Stmt of Fin. Postn. by Mth'!$L$80,'LWVC-Stmt of Fin. Postn. by Mth'!$N$80</definedName>
    <definedName name="QB_FORMULA_16" localSheetId="6" hidden="1">'LWVCEF-Stmt of Activ. by Class'!$R$27,'LWVCEF-Stmt of Activ. by Class'!$T$27,'LWVCEF-Stmt of Activ. by Class'!$V$27,'LWVCEF-Stmt of Activ. by Class'!$X$27,'LWVCEF-Stmt of Activ. by Class'!$AJ$27,'LWVCEF-Stmt of Activ. by Class'!$AL$27,'LWVCEF-Stmt of Activ. by Class'!$AN$27,'LWVCEF-Stmt of Activ. by Class'!$AP$27,'LWVCEF-Stmt of Activ. by Class'!$AR$27,'LWVCEF-Stmt of Activ. by Class'!$AT$27,'LWVCEF-Stmt of Activ. by Class'!$AV$27,'LWVCEF-Stmt of Activ. by Class'!$AZ$27,'LWVCEF-Stmt of Activ. by Class'!$BB$27,'LWVCEF-Stmt of Activ. by Class'!$BD$27,'LWVCEF-Stmt of Activ. by Class'!$BF$27,'LWVCEF-Stmt of Activ. by Class'!$BH$27</definedName>
    <definedName name="QB_FORMULA_1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6" localSheetId="4" hidden="1">'LWVC-Stmt of Fin. Postn. by Mth'!$P$80,'LWVC-Stmt of Fin. Postn. by Mth'!$R$80,'LWVC-Stmt of Fin. Postn. by Mth'!$T$80,'LWVC-Stmt of Fin. Postn. by Mth'!$V$80,'LWVC-Stmt of Fin. Postn. by Mth'!$X$80,'LWVC-Stmt of Fin. Postn. by Mth'!$Z$80,'LWVC-Stmt of Fin. Postn. by Mth'!$AB$80,'LWVC-Stmt of Fin. Postn. by Mth'!$AD$80,'LWVC-Stmt of Fin. Postn. by Mth'!$H$81,'LWVC-Stmt of Fin. Postn. by Mth'!$J$81,'LWVC-Stmt of Fin. Postn. by Mth'!$L$81,'LWVC-Stmt of Fin. Postn. by Mth'!$N$81,'LWVC-Stmt of Fin. Postn. by Mth'!$P$81,'LWVC-Stmt of Fin. Postn. by Mth'!$R$81,'LWVC-Stmt of Fin. Postn. by Mth'!$T$81,'LWVC-Stmt of Fin. Postn. by Mth'!$V$81</definedName>
    <definedName name="QB_FORMULA_17" localSheetId="6" hidden="1">'LWVCEF-Stmt of Activ. by Class'!$BL$27,'LWVCEF-Stmt of Activ. by Class'!$BN$27,'LWVCEF-Stmt of Activ. by Class'!$BP$27,'LWVCEF-Stmt of Activ. by Class'!$BR$27,'LWVCEF-Stmt of Activ. by Class'!$BT$27,'LWVCEF-Stmt of Activ. by Class'!$BX$27,'LWVCEF-Stmt of Activ. by Class'!$BZ$27,'LWVCEF-Stmt of Activ. by Class'!$CB$27,'LWVCEF-Stmt of Activ. by Class'!$CD$27,'LWVCEF-Stmt of Activ. by Class'!$CF$27,'LWVCEF-Stmt of Activ. by Class'!$CH$27,'LWVCEF-Stmt of Activ. by Class'!$CN$27,'LWVCEF-Stmt of Activ. by Class'!$CP$27,'LWVCEF-Stmt of Activ. by Class'!$P$29,'LWVCEF-Stmt of Activ. by Class'!$R$29,'LWVCEF-Stmt of Activ. by Class'!$AR$29</definedName>
    <definedName name="QB_FORMULA_1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7" localSheetId="4" hidden="1">'LWVC-Stmt of Fin. Postn. by Mth'!$X$81,'LWVC-Stmt of Fin. Postn. by Mth'!$Z$81,'LWVC-Stmt of Fin. Postn. by Mth'!$AB$81,'LWVC-Stmt of Fin. Postn. by Mth'!$AD$81</definedName>
    <definedName name="QB_FORMULA_18" localSheetId="6" hidden="1">'LWVCEF-Stmt of Activ. by Class'!$AT$29,'LWVCEF-Stmt of Activ. by Class'!$BD$29,'LWVCEF-Stmt of Activ. by Class'!$BF$29,'LWVCEF-Stmt of Activ. by Class'!$BP$29,'LWVCEF-Stmt of Activ. by Class'!$BR$29,'LWVCEF-Stmt of Activ. by Class'!$CB$29,'LWVCEF-Stmt of Activ. by Class'!$CD$29,'LWVCEF-Stmt of Activ. by Class'!$CF$29,'LWVCEF-Stmt of Activ. by Class'!$CH$29,'LWVCEF-Stmt of Activ. by Class'!$CN$29,'LWVCEF-Stmt of Activ. by Class'!$CP$29,'LWVCEF-Stmt of Activ. by Class'!$P$30,'LWVCEF-Stmt of Activ. by Class'!$R$30,'LWVCEF-Stmt of Activ. by Class'!$AR$30,'LWVCEF-Stmt of Activ. by Class'!$BD$30,'LWVCEF-Stmt of Activ. by Class'!$BP$30</definedName>
    <definedName name="QB_FORMULA_1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9" localSheetId="6" hidden="1">'LWVCEF-Stmt of Activ. by Class'!$CB$30,'LWVCEF-Stmt of Activ. by Class'!$CF$30,'LWVCEF-Stmt of Activ. by Class'!$CN$30,'LWVCEF-Stmt of Activ. by Class'!$CP$30,'LWVCEF-Stmt of Activ. by Class'!$P$31,'LWVCEF-Stmt of Activ. by Class'!$R$31,'LWVCEF-Stmt of Activ. by Class'!$AR$31,'LWVCEF-Stmt of Activ. by Class'!$BD$31,'LWVCEF-Stmt of Activ. by Class'!$BP$31,'LWVCEF-Stmt of Activ. by Class'!$CB$31,'LWVCEF-Stmt of Activ. by Class'!$CF$31,'LWVCEF-Stmt of Activ. by Class'!$CN$31,'LWVCEF-Stmt of Activ. by Class'!$CP$31,'LWVCEF-Stmt of Activ. by Class'!$P$32,'LWVCEF-Stmt of Activ. by Class'!$R$32,'LWVCEF-Stmt of Activ. by Class'!$AR$32</definedName>
    <definedName name="QB_FORMULA_1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" localSheetId="6" hidden="1">'LWVCEF-Stmt of Activ. by Class'!$AR$10,'LWVCEF-Stmt of Activ. by Class'!$BD$10,'LWVCEF-Stmt of Activ. by Class'!$BP$10,'LWVCEF-Stmt of Activ. by Class'!$BR$10,'LWVCEF-Stmt of Activ. by Class'!$CB$10,'LWVCEF-Stmt of Activ. by Class'!$CD$10,'LWVCEF-Stmt of Activ. by Class'!$CF$10,'LWVCEF-Stmt of Activ. by Class'!$CH$10,'LWVCEF-Stmt of Activ. by Class'!$CN$10,'LWVCEF-Stmt of Activ. by Class'!$CP$10,'LWVCEF-Stmt of Activ. by Class'!$P$11,'LWVCEF-Stmt of Activ. by Class'!$AR$11,'LWVCEF-Stmt of Activ. by Class'!$BD$11,'LWVCEF-Stmt of Activ. by Class'!$BP$11,'LWVCEF-Stmt of Activ. by Class'!$CB$11,'LWVCEF-Stmt of Activ. by Class'!$CF$11</definedName>
    <definedName name="QB_FORMULA_2" localSheetId="8" hidden="1">'LWVCEF-Stmt of Fin. Pos. by mth'!$X$14,'LWVCEF-Stmt of Fin. Pos. by mth'!$Z$14,'LWVCEF-Stmt of Fin. Pos. by mth'!$AB$14,'LWVCEF-Stmt of Fin. Pos. by mth'!$AD$14,'LWVCEF-Stmt of Fin. Pos. by mth'!$H$20,'LWVCEF-Stmt of Fin. Pos. by mth'!$J$20,'LWVCEF-Stmt of Fin. Pos. by mth'!$L$20,'LWVCEF-Stmt of Fin. Pos. by mth'!$N$20,'LWVCEF-Stmt of Fin. Pos. by mth'!$P$20,'LWVCEF-Stmt of Fin. Pos. by mth'!$R$20,'LWVCEF-Stmt of Fin. Pos. by mth'!$T$20,'LWVCEF-Stmt of Fin. Pos. by mth'!$V$20,'LWVCEF-Stmt of Fin. Pos. by mth'!$X$20,'LWVCEF-Stmt of Fin. Pos. by mth'!$Z$20,'LWVCEF-Stmt of Fin. Pos. by mth'!$AB$20,'LWVCEF-Stmt of Fin. Pos. by mth'!$AD$20</definedName>
    <definedName name="QB_FORMULA_2" localSheetId="7" hidden="1">'LWVCEF-Stmt. of Act. by Month'!$AD$15,'LWVCEF-Stmt. of Act. by Month'!$AF$15,'LWVCEF-Stmt. of Act. by Month'!$AF$17,'LWVCEF-Stmt. of Act. by Month'!$AF$18,'LWVCEF-Stmt. of Act. by Month'!$AF$19,'LWVCEF-Stmt. of Act. by Month'!$AF$20,'LWVCEF-Stmt. of Act. by Month'!$H$21,'LWVCEF-Stmt. of Act. by Month'!$J$21,'LWVCEF-Stmt. of Act. by Month'!$L$21,'LWVCEF-Stmt. of Act. by Month'!$N$21,'LWVCEF-Stmt. of Act. by Month'!$P$21,'LWVCEF-Stmt. of Act. by Month'!$R$21,'LWVCEF-Stmt. of Act. by Month'!$T$21,'LWVCEF-Stmt. of Act. by Month'!$V$21,'LWVCEF-Stmt. of Act. by Month'!$X$21,'LWVCEF-Stmt. of Act. by Month'!$Z$21</definedName>
    <definedName name="QB_FORMULA_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" localSheetId="3" hidden="1">'LWVC-Stmt of Activities by Mth'!$AB$16,'LWVC-Stmt of Activities by Mth'!$AD$16,'LWVC-Stmt of Activities by Mth'!$AF$16,'LWVC-Stmt of Activities by Mth'!$AF$18,'LWVC-Stmt of Activities by Mth'!$AF$19,'LWVC-Stmt of Activities by Mth'!$AF$20,'LWVC-Stmt of Activities by Mth'!$AF$21,'LWVC-Stmt of Activities by Mth'!$AF$22,'LWVC-Stmt of Activities by Mth'!$AF$23,'LWVC-Stmt of Activities by Mth'!$AF$25,'LWVC-Stmt of Activities by Mth'!$AF$26,'LWVC-Stmt of Activities by Mth'!$AF$27,'LWVC-Stmt of Activities by Mth'!$AF$28,'LWVC-Stmt of Activities by Mth'!$H$29,'LWVC-Stmt of Activities by Mth'!$J$29,'LWVC-Stmt of Activities by Mth'!$L$29</definedName>
    <definedName name="QB_FORMULA_2" localSheetId="4" hidden="1">'LWVC-Stmt of Fin. Postn. by Mth'!$X$12,'LWVC-Stmt of Fin. Postn. by Mth'!$Z$12,'LWVC-Stmt of Fin. Postn. by Mth'!$AB$12,'LWVC-Stmt of Fin. Postn. by Mth'!$AD$12,'LWVC-Stmt of Fin. Postn. by Mth'!$H$20,'LWVC-Stmt of Fin. Postn. by Mth'!$J$20,'LWVC-Stmt of Fin. Postn. by Mth'!$L$20,'LWVC-Stmt of Fin. Postn. by Mth'!$N$20,'LWVC-Stmt of Fin. Postn. by Mth'!$P$20,'LWVC-Stmt of Fin. Postn. by Mth'!$R$20,'LWVC-Stmt of Fin. Postn. by Mth'!$T$20,'LWVC-Stmt of Fin. Postn. by Mth'!$V$20,'LWVC-Stmt of Fin. Postn. by Mth'!$X$20,'LWVC-Stmt of Fin. Postn. by Mth'!$Z$20,'LWVC-Stmt of Fin. Postn. by Mth'!$AB$20,'LWVC-Stmt of Fin. Postn. by Mth'!$AD$20</definedName>
    <definedName name="QB_FORMULA_20" localSheetId="6" hidden="1">'LWVCEF-Stmt of Activ. by Class'!$BD$32,'LWVCEF-Stmt of Activ. by Class'!$BF$32,'LWVCEF-Stmt of Activ. by Class'!$BP$32,'LWVCEF-Stmt of Activ. by Class'!$BR$32,'LWVCEF-Stmt of Activ. by Class'!$CB$32,'LWVCEF-Stmt of Activ. by Class'!$CF$32,'LWVCEF-Stmt of Activ. by Class'!$CH$32,'LWVCEF-Stmt of Activ. by Class'!$CN$32,'LWVCEF-Stmt of Activ. by Class'!$CP$32,'LWVCEF-Stmt of Activ. by Class'!$P$33,'LWVCEF-Stmt of Activ. by Class'!$AR$33,'LWVCEF-Stmt of Activ. by Class'!$BD$33,'LWVCEF-Stmt of Activ. by Class'!$BP$33,'LWVCEF-Stmt of Activ. by Class'!$BR$33,'LWVCEF-Stmt of Activ. by Class'!$CB$33,'LWVCEF-Stmt of Activ. by Class'!$CF$33</definedName>
    <definedName name="QB_FORMULA_2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1" localSheetId="6" hidden="1">'LWVCEF-Stmt of Activ. by Class'!$CH$33,'LWVCEF-Stmt of Activ. by Class'!$CN$33,'LWVCEF-Stmt of Activ. by Class'!$CP$33,'LWVCEF-Stmt of Activ. by Class'!$P$34,'LWVCEF-Stmt of Activ. by Class'!$R$34,'LWVCEF-Stmt of Activ. by Class'!$AR$34,'LWVCEF-Stmt of Activ. by Class'!$AT$34,'LWVCEF-Stmt of Activ. by Class'!$BD$34,'LWVCEF-Stmt of Activ. by Class'!$BF$34,'LWVCEF-Stmt of Activ. by Class'!$BP$34,'LWVCEF-Stmt of Activ. by Class'!$BR$34,'LWVCEF-Stmt of Activ. by Class'!$CB$34,'LWVCEF-Stmt of Activ. by Class'!$CD$34,'LWVCEF-Stmt of Activ. by Class'!$CF$34,'LWVCEF-Stmt of Activ. by Class'!$CH$34,'LWVCEF-Stmt of Activ. by Class'!$CN$34</definedName>
    <definedName name="QB_FORMULA_2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2" localSheetId="6" hidden="1">'LWVCEF-Stmt of Activ. by Class'!$CP$34,'LWVCEF-Stmt of Activ. by Class'!$P$35,'LWVCEF-Stmt of Activ. by Class'!$R$35,'LWVCEF-Stmt of Activ. by Class'!$AR$35,'LWVCEF-Stmt of Activ. by Class'!$AT$35,'LWVCEF-Stmt of Activ. by Class'!$BD$35,'LWVCEF-Stmt of Activ. by Class'!$BF$35,'LWVCEF-Stmt of Activ. by Class'!$BP$35,'LWVCEF-Stmt of Activ. by Class'!$BR$35,'LWVCEF-Stmt of Activ. by Class'!$CB$35,'LWVCEF-Stmt of Activ. by Class'!$CD$35,'LWVCEF-Stmt of Activ. by Class'!$CF$35,'LWVCEF-Stmt of Activ. by Class'!$CH$35,'LWVCEF-Stmt of Activ. by Class'!$CN$35,'LWVCEF-Stmt of Activ. by Class'!$CP$35,'LWVCEF-Stmt of Activ. by Class'!$P$36</definedName>
    <definedName name="QB_FORMULA_2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3" localSheetId="6" hidden="1">'LWVCEF-Stmt of Activ. by Class'!$R$36,'LWVCEF-Stmt of Activ. by Class'!$AR$36,'LWVCEF-Stmt of Activ. by Class'!$AT$36,'LWVCEF-Stmt of Activ. by Class'!$BD$36,'LWVCEF-Stmt of Activ. by Class'!$BF$36,'LWVCEF-Stmt of Activ. by Class'!$BP$36,'LWVCEF-Stmt of Activ. by Class'!$BR$36,'LWVCEF-Stmt of Activ. by Class'!$CB$36,'LWVCEF-Stmt of Activ. by Class'!$CD$36,'LWVCEF-Stmt of Activ. by Class'!$CF$36,'LWVCEF-Stmt of Activ. by Class'!$CH$36,'LWVCEF-Stmt of Activ. by Class'!$CN$36,'LWVCEF-Stmt of Activ. by Class'!$CP$36,'LWVCEF-Stmt of Activ. by Class'!$P$37,'LWVCEF-Stmt of Activ. by Class'!$R$37,'LWVCEF-Stmt of Activ. by Class'!$AR$37</definedName>
    <definedName name="QB_FORMULA_2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4" localSheetId="6" hidden="1">'LWVCEF-Stmt of Activ. by Class'!$AT$37,'LWVCEF-Stmt of Activ. by Class'!$BD$37,'LWVCEF-Stmt of Activ. by Class'!$BF$37,'LWVCEF-Stmt of Activ. by Class'!$BP$37,'LWVCEF-Stmt of Activ. by Class'!$BR$37,'LWVCEF-Stmt of Activ. by Class'!$CB$37,'LWVCEF-Stmt of Activ. by Class'!$CD$37,'LWVCEF-Stmt of Activ. by Class'!$CF$37,'LWVCEF-Stmt of Activ. by Class'!$CH$37,'LWVCEF-Stmt of Activ. by Class'!$CN$37,'LWVCEF-Stmt of Activ. by Class'!$CP$37,'LWVCEF-Stmt of Activ. by Class'!$P$38,'LWVCEF-Stmt of Activ. by Class'!$R$38,'LWVCEF-Stmt of Activ. by Class'!$AR$38,'LWVCEF-Stmt of Activ. by Class'!$AT$38,'LWVCEF-Stmt of Activ. by Class'!$BD$38</definedName>
    <definedName name="QB_FORMULA_2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5" localSheetId="6" hidden="1">'LWVCEF-Stmt of Activ. by Class'!$BF$38,'LWVCEF-Stmt of Activ. by Class'!$BP$38,'LWVCEF-Stmt of Activ. by Class'!$BR$38,'LWVCEF-Stmt of Activ. by Class'!$CB$38,'LWVCEF-Stmt of Activ. by Class'!$CD$38,'LWVCEF-Stmt of Activ. by Class'!$CF$38,'LWVCEF-Stmt of Activ. by Class'!$CH$38,'LWVCEF-Stmt of Activ. by Class'!$CN$38,'LWVCEF-Stmt of Activ. by Class'!$CP$38,'LWVCEF-Stmt of Activ. by Class'!$P$39,'LWVCEF-Stmt of Activ. by Class'!$R$39,'LWVCEF-Stmt of Activ. by Class'!$AR$39,'LWVCEF-Stmt of Activ. by Class'!$AT$39,'LWVCEF-Stmt of Activ. by Class'!$BD$39,'LWVCEF-Stmt of Activ. by Class'!$BF$39,'LWVCEF-Stmt of Activ. by Class'!$BP$39</definedName>
    <definedName name="QB_FORMULA_2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6" localSheetId="6" hidden="1">'LWVCEF-Stmt of Activ. by Class'!$BR$39,'LWVCEF-Stmt of Activ. by Class'!$CB$39,'LWVCEF-Stmt of Activ. by Class'!$CD$39,'LWVCEF-Stmt of Activ. by Class'!$CF$39,'LWVCEF-Stmt of Activ. by Class'!$CH$39,'LWVCEF-Stmt of Activ. by Class'!$CN$39,'LWVCEF-Stmt of Activ. by Class'!$CP$39,'LWVCEF-Stmt of Activ. by Class'!$P$40,'LWVCEF-Stmt of Activ. by Class'!$R$40,'LWVCEF-Stmt of Activ. by Class'!$AR$40,'LWVCEF-Stmt of Activ. by Class'!$AT$40,'LWVCEF-Stmt of Activ. by Class'!$BD$40,'LWVCEF-Stmt of Activ. by Class'!$BF$40,'LWVCEF-Stmt of Activ. by Class'!$BP$40,'LWVCEF-Stmt of Activ. by Class'!$BR$40,'LWVCEF-Stmt of Activ. by Class'!$CB$40</definedName>
    <definedName name="QB_FORMULA_2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7" localSheetId="6" hidden="1">'LWVCEF-Stmt of Activ. by Class'!$CD$40,'LWVCEF-Stmt of Activ. by Class'!$CF$40,'LWVCEF-Stmt of Activ. by Class'!$CH$40,'LWVCEF-Stmt of Activ. by Class'!$CN$40,'LWVCEF-Stmt of Activ. by Class'!$CP$40,'LWVCEF-Stmt of Activ. by Class'!$P$41,'LWVCEF-Stmt of Activ. by Class'!$R$41,'LWVCEF-Stmt of Activ. by Class'!$AR$41,'LWVCEF-Stmt of Activ. by Class'!$AT$41,'LWVCEF-Stmt of Activ. by Class'!$BD$41,'LWVCEF-Stmt of Activ. by Class'!$BF$41,'LWVCEF-Stmt of Activ. by Class'!$BP$41,'LWVCEF-Stmt of Activ. by Class'!$BR$41,'LWVCEF-Stmt of Activ. by Class'!$CB$41,'LWVCEF-Stmt of Activ. by Class'!$CD$41,'LWVCEF-Stmt of Activ. by Class'!$CF$41</definedName>
    <definedName name="QB_FORMULA_2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8" localSheetId="6" hidden="1">'LWVCEF-Stmt of Activ. by Class'!$CH$41,'LWVCEF-Stmt of Activ. by Class'!$CN$41,'LWVCEF-Stmt of Activ. by Class'!$CP$41,'LWVCEF-Stmt of Activ. by Class'!$P$42,'LWVCEF-Stmt of Activ. by Class'!$R$42,'LWVCEF-Stmt of Activ. by Class'!$AR$42,'LWVCEF-Stmt of Activ. by Class'!$BD$42,'LWVCEF-Stmt of Activ. by Class'!$BP$42,'LWVCEF-Stmt of Activ. by Class'!$CB$42,'LWVCEF-Stmt of Activ. by Class'!$CF$42,'LWVCEF-Stmt of Activ. by Class'!$CN$42,'LWVCEF-Stmt of Activ. by Class'!$CP$42,'LWVCEF-Stmt of Activ. by Class'!$P$43,'LWVCEF-Stmt of Activ. by Class'!$R$43,'LWVCEF-Stmt of Activ. by Class'!$AR$43,'LWVCEF-Stmt of Activ. by Class'!$AT$43</definedName>
    <definedName name="QB_FORMULA_2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9" localSheetId="6" hidden="1">'LWVCEF-Stmt of Activ. by Class'!$BD$43,'LWVCEF-Stmt of Activ. by Class'!$BF$43,'LWVCEF-Stmt of Activ. by Class'!$BP$43,'LWVCEF-Stmt of Activ. by Class'!$BR$43,'LWVCEF-Stmt of Activ. by Class'!$CB$43,'LWVCEF-Stmt of Activ. by Class'!$CD$43,'LWVCEF-Stmt of Activ. by Class'!$CF$43,'LWVCEF-Stmt of Activ. by Class'!$CH$43,'LWVCEF-Stmt of Activ. by Class'!$CN$43,'LWVCEF-Stmt of Activ. by Class'!$CP$43,'LWVCEF-Stmt of Activ. by Class'!$P$44,'LWVCEF-Stmt of Activ. by Class'!$R$44,'LWVCEF-Stmt of Activ. by Class'!$AR$44,'LWVCEF-Stmt of Activ. by Class'!$AT$44,'LWVCEF-Stmt of Activ. by Class'!$BD$44,'LWVCEF-Stmt of Activ. by Class'!$BF$44</definedName>
    <definedName name="QB_FORMULA_2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" localSheetId="6" hidden="1">'LWVCEF-Stmt of Activ. by Class'!$CN$11,'LWVCEF-Stmt of Activ. by Class'!$CP$11,'LWVCEF-Stmt of Activ. by Class'!$P$12,'LWVCEF-Stmt of Activ. by Class'!$AR$12,'LWVCEF-Stmt of Activ. by Class'!$BD$12,'LWVCEF-Stmt of Activ. by Class'!$BP$12,'LWVCEF-Stmt of Activ. by Class'!$BR$12,'LWVCEF-Stmt of Activ. by Class'!$CB$12,'LWVCEF-Stmt of Activ. by Class'!$CD$12,'LWVCEF-Stmt of Activ. by Class'!$CF$12,'LWVCEF-Stmt of Activ. by Class'!$CH$12,'LWVCEF-Stmt of Activ. by Class'!$CN$12,'LWVCEF-Stmt of Activ. by Class'!$CP$12,'LWVCEF-Stmt of Activ. by Class'!$P$13,'LWVCEF-Stmt of Activ. by Class'!$R$13,'LWVCEF-Stmt of Activ. by Class'!$AR$13</definedName>
    <definedName name="QB_FORMULA_3" localSheetId="8" hidden="1">'LWVCEF-Stmt of Fin. Pos. by mth'!$H$24,'LWVCEF-Stmt of Fin. Pos. by mth'!$J$24,'LWVCEF-Stmt of Fin. Pos. by mth'!$L$24,'LWVCEF-Stmt of Fin. Pos. by mth'!$N$24,'LWVCEF-Stmt of Fin. Pos. by mth'!$P$24,'LWVCEF-Stmt of Fin. Pos. by mth'!$R$24,'LWVCEF-Stmt of Fin. Pos. by mth'!$T$24,'LWVCEF-Stmt of Fin. Pos. by mth'!$V$24,'LWVCEF-Stmt of Fin. Pos. by mth'!$X$24,'LWVCEF-Stmt of Fin. Pos. by mth'!$Z$24,'LWVCEF-Stmt of Fin. Pos. by mth'!$AB$24,'LWVCEF-Stmt of Fin. Pos. by mth'!$AD$24,'LWVCEF-Stmt of Fin. Pos. by mth'!$H$25,'LWVCEF-Stmt of Fin. Pos. by mth'!$J$25,'LWVCEF-Stmt of Fin. Pos. by mth'!$L$25,'LWVCEF-Stmt of Fin. Pos. by mth'!$N$25</definedName>
    <definedName name="QB_FORMULA_3" localSheetId="7" hidden="1">'LWVCEF-Stmt. of Act. by Month'!$AB$21,'LWVCEF-Stmt. of Act. by Month'!$AD$21,'LWVCEF-Stmt. of Act. by Month'!$AF$21,'LWVCEF-Stmt. of Act. by Month'!$AF$22,'LWVCEF-Stmt. of Act. by Month'!$AF$23,'LWVCEF-Stmt. of Act. by Month'!$AF$24,'LWVCEF-Stmt. of Act. by Month'!$H$25,'LWVCEF-Stmt. of Act. by Month'!$J$25,'LWVCEF-Stmt. of Act. by Month'!$L$25,'LWVCEF-Stmt. of Act. by Month'!$N$25,'LWVCEF-Stmt. of Act. by Month'!$P$25,'LWVCEF-Stmt. of Act. by Month'!$R$25,'LWVCEF-Stmt. of Act. by Month'!$T$25,'LWVCEF-Stmt. of Act. by Month'!$V$25,'LWVCEF-Stmt. of Act. by Month'!$X$25,'LWVCEF-Stmt. of Act. by Month'!$Z$25</definedName>
    <definedName name="QB_FORMULA_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" localSheetId="3" hidden="1">'LWVC-Stmt of Activities by Mth'!$N$29,'LWVC-Stmt of Activities by Mth'!$P$29,'LWVC-Stmt of Activities by Mth'!$R$29,'LWVC-Stmt of Activities by Mth'!$T$29,'LWVC-Stmt of Activities by Mth'!$V$29,'LWVC-Stmt of Activities by Mth'!$X$29,'LWVC-Stmt of Activities by Mth'!$Z$29,'LWVC-Stmt of Activities by Mth'!$AB$29,'LWVC-Stmt of Activities by Mth'!$AD$29,'LWVC-Stmt of Activities by Mth'!$AF$29,'LWVC-Stmt of Activities by Mth'!$H$30,'LWVC-Stmt of Activities by Mth'!$J$30,'LWVC-Stmt of Activities by Mth'!$L$30,'LWVC-Stmt of Activities by Mth'!$N$30,'LWVC-Stmt of Activities by Mth'!$P$30,'LWVC-Stmt of Activities by Mth'!$R$30</definedName>
    <definedName name="QB_FORMULA_3" localSheetId="4" hidden="1">'LWVC-Stmt of Fin. Postn. by Mth'!$H$23,'LWVC-Stmt of Fin. Postn. by Mth'!$J$23,'LWVC-Stmt of Fin. Postn. by Mth'!$L$23,'LWVC-Stmt of Fin. Postn. by Mth'!$N$23,'LWVC-Stmt of Fin. Postn. by Mth'!$P$23,'LWVC-Stmt of Fin. Postn. by Mth'!$R$23,'LWVC-Stmt of Fin. Postn. by Mth'!$T$23,'LWVC-Stmt of Fin. Postn. by Mth'!$V$23,'LWVC-Stmt of Fin. Postn. by Mth'!$X$23,'LWVC-Stmt of Fin. Postn. by Mth'!$Z$23,'LWVC-Stmt of Fin. Postn. by Mth'!$AB$23,'LWVC-Stmt of Fin. Postn. by Mth'!$AD$23,'LWVC-Stmt of Fin. Postn. by Mth'!$H$24,'LWVC-Stmt of Fin. Postn. by Mth'!$J$24,'LWVC-Stmt of Fin. Postn. by Mth'!$L$24,'LWVC-Stmt of Fin. Postn. by Mth'!$N$24</definedName>
    <definedName name="QB_FORMULA_30" localSheetId="6" hidden="1">'LWVCEF-Stmt of Activ. by Class'!$BP$44,'LWVCEF-Stmt of Activ. by Class'!$BR$44,'LWVCEF-Stmt of Activ. by Class'!$CB$44,'LWVCEF-Stmt of Activ. by Class'!$CD$44,'LWVCEF-Stmt of Activ. by Class'!$CF$44,'LWVCEF-Stmt of Activ. by Class'!$CH$44,'LWVCEF-Stmt of Activ. by Class'!$CN$44,'LWVCEF-Stmt of Activ. by Class'!$CP$44,'LWVCEF-Stmt of Activ. by Class'!$P$45,'LWVCEF-Stmt of Activ. by Class'!$AR$45,'LWVCEF-Stmt of Activ. by Class'!$BD$45,'LWVCEF-Stmt of Activ. by Class'!$BP$45,'LWVCEF-Stmt of Activ. by Class'!$CB$45,'LWVCEF-Stmt of Activ. by Class'!$CD$45,'LWVCEF-Stmt of Activ. by Class'!$CF$45,'LWVCEF-Stmt of Activ. by Class'!$CH$45</definedName>
    <definedName name="QB_FORMULA_3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1" localSheetId="6" hidden="1">'LWVCEF-Stmt of Activ. by Class'!$CN$45,'LWVCEF-Stmt of Activ. by Class'!$CP$45,'LWVCEF-Stmt of Activ. by Class'!$H$46,'LWVCEF-Stmt of Activ. by Class'!$J$46,'LWVCEF-Stmt of Activ. by Class'!$L$46,'LWVCEF-Stmt of Activ. by Class'!$N$46,'LWVCEF-Stmt of Activ. by Class'!$P$46,'LWVCEF-Stmt of Activ. by Class'!$R$46,'LWVCEF-Stmt of Activ. by Class'!$T$46,'LWVCEF-Stmt of Activ. by Class'!$V$46,'LWVCEF-Stmt of Activ. by Class'!$X$46,'LWVCEF-Stmt of Activ. by Class'!$AJ$46,'LWVCEF-Stmt of Activ. by Class'!$AL$46,'LWVCEF-Stmt of Activ. by Class'!$AN$46,'LWVCEF-Stmt of Activ. by Class'!$AP$46,'LWVCEF-Stmt of Activ. by Class'!$AR$46</definedName>
    <definedName name="QB_FORMULA_3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2" localSheetId="6" hidden="1">'LWVCEF-Stmt of Activ. by Class'!$AT$46,'LWVCEF-Stmt of Activ. by Class'!$AV$46,'LWVCEF-Stmt of Activ. by Class'!$AZ$46,'LWVCEF-Stmt of Activ. by Class'!$BB$46,'LWVCEF-Stmt of Activ. by Class'!$BD$46,'LWVCEF-Stmt of Activ. by Class'!$BF$46,'LWVCEF-Stmt of Activ. by Class'!$BH$46,'LWVCEF-Stmt of Activ. by Class'!$BJ$46,'LWVCEF-Stmt of Activ. by Class'!$BL$46,'LWVCEF-Stmt of Activ. by Class'!$BN$46,'LWVCEF-Stmt of Activ. by Class'!$BP$46,'LWVCEF-Stmt of Activ. by Class'!$BR$46,'LWVCEF-Stmt of Activ. by Class'!$BT$46,'LWVCEF-Stmt of Activ. by Class'!$BX$46,'LWVCEF-Stmt of Activ. by Class'!$BZ$46,'LWVCEF-Stmt of Activ. by Class'!$CB$46</definedName>
    <definedName name="QB_FORMULA_3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3" localSheetId="6" hidden="1">'LWVCEF-Stmt of Activ. by Class'!$CD$46,'LWVCEF-Stmt of Activ. by Class'!$CF$46,'LWVCEF-Stmt of Activ. by Class'!$CH$46,'LWVCEF-Stmt of Activ. by Class'!$CN$46,'LWVCEF-Stmt of Activ. by Class'!$CP$46,'LWVCEF-Stmt of Activ. by Class'!$H$47,'LWVCEF-Stmt of Activ. by Class'!$J$47,'LWVCEF-Stmt of Activ. by Class'!$L$47,'LWVCEF-Stmt of Activ. by Class'!$N$47,'LWVCEF-Stmt of Activ. by Class'!$P$47,'LWVCEF-Stmt of Activ. by Class'!$R$47,'LWVCEF-Stmt of Activ. by Class'!$T$47,'LWVCEF-Stmt of Activ. by Class'!$V$47,'LWVCEF-Stmt of Activ. by Class'!$X$47,'LWVCEF-Stmt of Activ. by Class'!$AJ$47,'LWVCEF-Stmt of Activ. by Class'!$AL$47</definedName>
    <definedName name="QB_FORMULA_3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4" localSheetId="6" hidden="1">'LWVCEF-Stmt of Activ. by Class'!$AN$47,'LWVCEF-Stmt of Activ. by Class'!$AP$47,'LWVCEF-Stmt of Activ. by Class'!$AR$47,'LWVCEF-Stmt of Activ. by Class'!$AT$47,'LWVCEF-Stmt of Activ. by Class'!$AV$47,'LWVCEF-Stmt of Activ. by Class'!$AZ$47,'LWVCEF-Stmt of Activ. by Class'!$BB$47,'LWVCEF-Stmt of Activ. by Class'!$BD$47,'LWVCEF-Stmt of Activ. by Class'!$BF$47,'LWVCEF-Stmt of Activ. by Class'!$BH$47,'LWVCEF-Stmt of Activ. by Class'!$BJ$47,'LWVCEF-Stmt of Activ. by Class'!$BL$47,'LWVCEF-Stmt of Activ. by Class'!$BN$47,'LWVCEF-Stmt of Activ. by Class'!$BP$47,'LWVCEF-Stmt of Activ. by Class'!$BR$47,'LWVCEF-Stmt of Activ. by Class'!$BT$47</definedName>
    <definedName name="QB_FORMULA_3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5" localSheetId="6" hidden="1">'LWVCEF-Stmt of Activ. by Class'!$BX$47,'LWVCEF-Stmt of Activ. by Class'!$BZ$47,'LWVCEF-Stmt of Activ. by Class'!$CB$47,'LWVCEF-Stmt of Activ. by Class'!$CD$47,'LWVCEF-Stmt of Activ. by Class'!$CF$47,'LWVCEF-Stmt of Activ. by Class'!$CH$47,'LWVCEF-Stmt of Activ. by Class'!$CN$47,'LWVCEF-Stmt of Activ. by Class'!$CP$47,'LWVCEF-Stmt of Activ. by Class'!$H$48,'LWVCEF-Stmt of Activ. by Class'!$J$48,'LWVCEF-Stmt of Activ. by Class'!$L$48,'LWVCEF-Stmt of Activ. by Class'!$N$48,'LWVCEF-Stmt of Activ. by Class'!$P$48,'LWVCEF-Stmt of Activ. by Class'!$R$48,'LWVCEF-Stmt of Activ. by Class'!$T$48,'LWVCEF-Stmt of Activ. by Class'!$V$48</definedName>
    <definedName name="QB_FORMULA_3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6" localSheetId="6" hidden="1">'LWVCEF-Stmt of Activ. by Class'!$X$48,'LWVCEF-Stmt of Activ. by Class'!$AJ$48,'LWVCEF-Stmt of Activ. by Class'!$AL$48,'LWVCEF-Stmt of Activ. by Class'!$AN$48,'LWVCEF-Stmt of Activ. by Class'!$AP$48,'LWVCEF-Stmt of Activ. by Class'!$AR$48,'LWVCEF-Stmt of Activ. by Class'!$AT$48,'LWVCEF-Stmt of Activ. by Class'!$AV$48,'LWVCEF-Stmt of Activ. by Class'!$AZ$48,'LWVCEF-Stmt of Activ. by Class'!$BB$48,'LWVCEF-Stmt of Activ. by Class'!$BD$48,'LWVCEF-Stmt of Activ. by Class'!$BF$48,'LWVCEF-Stmt of Activ. by Class'!$BH$48,'LWVCEF-Stmt of Activ. by Class'!$BJ$48,'LWVCEF-Stmt of Activ. by Class'!$BL$48,'LWVCEF-Stmt of Activ. by Class'!$BN$48</definedName>
    <definedName name="QB_FORMULA_3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7" localSheetId="6" hidden="1">'LWVCEF-Stmt of Activ. by Class'!$BP$48,'LWVCEF-Stmt of Activ. by Class'!$BR$48,'LWVCEF-Stmt of Activ. by Class'!$BT$48,'LWVCEF-Stmt of Activ. by Class'!$BX$48,'LWVCEF-Stmt of Activ. by Class'!$BZ$48,'LWVCEF-Stmt of Activ. by Class'!$CB$48,'LWVCEF-Stmt of Activ. by Class'!$CD$48,'LWVCEF-Stmt of Activ. by Class'!$CF$48,'LWVCEF-Stmt of Activ. by Class'!$CH$48,'LWVCEF-Stmt of Activ. by Class'!$CN$48,'LWVCEF-Stmt of Activ. by Class'!$CP$48</definedName>
    <definedName name="QB_FORMULA_3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" localSheetId="6" hidden="1">'LWVCEF-Stmt of Activ. by Class'!$BD$13,'LWVCEF-Stmt of Activ. by Class'!$BP$13,'LWVCEF-Stmt of Activ. by Class'!$CB$13,'LWVCEF-Stmt of Activ. by Class'!$CF$13,'LWVCEF-Stmt of Activ. by Class'!$CN$13,'LWVCEF-Stmt of Activ. by Class'!$CP$13,'LWVCEF-Stmt of Activ. by Class'!$P$14,'LWVCEF-Stmt of Activ. by Class'!$AR$14,'LWVCEF-Stmt of Activ. by Class'!$AT$14,'LWVCEF-Stmt of Activ. by Class'!$BD$14,'LWVCEF-Stmt of Activ. by Class'!$BF$14,'LWVCEF-Stmt of Activ. by Class'!$BP$14,'LWVCEF-Stmt of Activ. by Class'!$BR$14,'LWVCEF-Stmt of Activ. by Class'!$CB$14,'LWVCEF-Stmt of Activ. by Class'!$CD$14,'LWVCEF-Stmt of Activ. by Class'!$CF$14</definedName>
    <definedName name="QB_FORMULA_4" localSheetId="8" hidden="1">'LWVCEF-Stmt of Fin. Pos. by mth'!$P$25,'LWVCEF-Stmt of Fin. Pos. by mth'!$R$25,'LWVCEF-Stmt of Fin. Pos. by mth'!$T$25,'LWVCEF-Stmt of Fin. Pos. by mth'!$V$25,'LWVCEF-Stmt of Fin. Pos. by mth'!$X$25,'LWVCEF-Stmt of Fin. Pos. by mth'!$Z$25,'LWVCEF-Stmt of Fin. Pos. by mth'!$AB$25,'LWVCEF-Stmt of Fin. Pos. by mth'!$AD$25,'LWVCEF-Stmt of Fin. Pos. by mth'!$H$30,'LWVCEF-Stmt of Fin. Pos. by mth'!$J$30,'LWVCEF-Stmt of Fin. Pos. by mth'!$L$30,'LWVCEF-Stmt of Fin. Pos. by mth'!$N$30,'LWVCEF-Stmt of Fin. Pos. by mth'!$P$30,'LWVCEF-Stmt of Fin. Pos. by mth'!$R$30,'LWVCEF-Stmt of Fin. Pos. by mth'!$T$30,'LWVCEF-Stmt of Fin. Pos. by mth'!$V$30</definedName>
    <definedName name="QB_FORMULA_4" localSheetId="7" hidden="1">'LWVCEF-Stmt. of Act. by Month'!$AB$25,'LWVCEF-Stmt. of Act. by Month'!$AD$25,'LWVCEF-Stmt. of Act. by Month'!$AF$25,'LWVCEF-Stmt. of Act. by Month'!$AF$27,'LWVCEF-Stmt. of Act. by Month'!$H$28,'LWVCEF-Stmt. of Act. by Month'!$J$28,'LWVCEF-Stmt. of Act. by Month'!$L$28,'LWVCEF-Stmt. of Act. by Month'!$N$28,'LWVCEF-Stmt. of Act. by Month'!$P$28,'LWVCEF-Stmt. of Act. by Month'!$R$28,'LWVCEF-Stmt. of Act. by Month'!$T$28,'LWVCEF-Stmt. of Act. by Month'!$V$28,'LWVCEF-Stmt. of Act. by Month'!$X$28,'LWVCEF-Stmt. of Act. by Month'!$Z$28,'LWVCEF-Stmt. of Act. by Month'!$AB$28,'LWVCEF-Stmt. of Act. by Month'!$AD$28</definedName>
    <definedName name="QB_FORMULA_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" localSheetId="3" hidden="1">'LWVC-Stmt of Activities by Mth'!$T$30,'LWVC-Stmt of Activities by Mth'!$V$30,'LWVC-Stmt of Activities by Mth'!$X$30,'LWVC-Stmt of Activities by Mth'!$Z$30,'LWVC-Stmt of Activities by Mth'!$AB$30,'LWVC-Stmt of Activities by Mth'!$AD$30,'LWVC-Stmt of Activities by Mth'!$AF$30,'LWVC-Stmt of Activities by Mth'!$AF$31,'LWVC-Stmt of Activities by Mth'!$AF$32,'LWVC-Stmt of Activities by Mth'!$AF$33,'LWVC-Stmt of Activities by Mth'!$H$34,'LWVC-Stmt of Activities by Mth'!$J$34,'LWVC-Stmt of Activities by Mth'!$L$34,'LWVC-Stmt of Activities by Mth'!$N$34,'LWVC-Stmt of Activities by Mth'!$P$34,'LWVC-Stmt of Activities by Mth'!$R$34</definedName>
    <definedName name="QB_FORMULA_4" localSheetId="4" hidden="1">'LWVC-Stmt of Fin. Postn. by Mth'!$P$24,'LWVC-Stmt of Fin. Postn. by Mth'!$R$24,'LWVC-Stmt of Fin. Postn. by Mth'!$T$24,'LWVC-Stmt of Fin. Postn. by Mth'!$V$24,'LWVC-Stmt of Fin. Postn. by Mth'!$X$24,'LWVC-Stmt of Fin. Postn. by Mth'!$Z$24,'LWVC-Stmt of Fin. Postn. by Mth'!$AB$24,'LWVC-Stmt of Fin. Postn. by Mth'!$AD$24,'LWVC-Stmt of Fin. Postn. by Mth'!$H$29,'LWVC-Stmt of Fin. Postn. by Mth'!$J$29,'LWVC-Stmt of Fin. Postn. by Mth'!$L$29,'LWVC-Stmt of Fin. Postn. by Mth'!$N$29,'LWVC-Stmt of Fin. Postn. by Mth'!$P$29,'LWVC-Stmt of Fin. Postn. by Mth'!$R$29,'LWVC-Stmt of Fin. Postn. by Mth'!$T$29,'LWVC-Stmt of Fin. Postn. by Mth'!$V$29</definedName>
    <definedName name="QB_FORMULA_4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" localSheetId="6" hidden="1">'LWVCEF-Stmt of Activ. by Class'!$CH$14,'LWVCEF-Stmt of Activ. by Class'!$CN$14,'LWVCEF-Stmt of Activ. by Class'!$CP$14,'LWVCEF-Stmt of Activ. by Class'!$H$15,'LWVCEF-Stmt of Activ. by Class'!$J$15,'LWVCEF-Stmt of Activ. by Class'!$L$15,'LWVCEF-Stmt of Activ. by Class'!$N$15,'LWVCEF-Stmt of Activ. by Class'!$P$15,'LWVCEF-Stmt of Activ. by Class'!$R$15,'LWVCEF-Stmt of Activ. by Class'!$T$15,'LWVCEF-Stmt of Activ. by Class'!$V$15,'LWVCEF-Stmt of Activ. by Class'!$X$15,'LWVCEF-Stmt of Activ. by Class'!$AJ$15,'LWVCEF-Stmt of Activ. by Class'!$AL$15,'LWVCEF-Stmt of Activ. by Class'!$AN$15,'LWVCEF-Stmt of Activ. by Class'!$AP$15</definedName>
    <definedName name="QB_FORMULA_5" localSheetId="8" hidden="1">'LWVCEF-Stmt of Fin. Pos. by mth'!$X$30,'LWVCEF-Stmt of Fin. Pos. by mth'!$Z$30,'LWVCEF-Stmt of Fin. Pos. by mth'!$AB$30,'LWVCEF-Stmt of Fin. Pos. by mth'!$AD$30,'LWVCEF-Stmt of Fin. Pos. by mth'!$H$31,'LWVCEF-Stmt of Fin. Pos. by mth'!$J$31,'LWVCEF-Stmt of Fin. Pos. by mth'!$L$31,'LWVCEF-Stmt of Fin. Pos. by mth'!$N$31,'LWVCEF-Stmt of Fin. Pos. by mth'!$P$31,'LWVCEF-Stmt of Fin. Pos. by mth'!$R$31,'LWVCEF-Stmt of Fin. Pos. by mth'!$T$31,'LWVCEF-Stmt of Fin. Pos. by mth'!$V$31,'LWVCEF-Stmt of Fin. Pos. by mth'!$X$31,'LWVCEF-Stmt of Fin. Pos. by mth'!$Z$31,'LWVCEF-Stmt of Fin. Pos. by mth'!$AB$31,'LWVCEF-Stmt of Fin. Pos. by mth'!$AD$31</definedName>
    <definedName name="QB_FORMULA_5" localSheetId="7" hidden="1">'LWVCEF-Stmt. of Act. by Month'!$AF$28,'LWVCEF-Stmt. of Act. by Month'!$H$29,'LWVCEF-Stmt. of Act. by Month'!$J$29,'LWVCEF-Stmt. of Act. by Month'!$L$29,'LWVCEF-Stmt. of Act. by Month'!$N$29,'LWVCEF-Stmt. of Act. by Month'!$P$29,'LWVCEF-Stmt. of Act. by Month'!$R$29,'LWVCEF-Stmt. of Act. by Month'!$T$29,'LWVCEF-Stmt. of Act. by Month'!$V$29,'LWVCEF-Stmt. of Act. by Month'!$X$29,'LWVCEF-Stmt. of Act. by Month'!$Z$29,'LWVCEF-Stmt. of Act. by Month'!$AB$29,'LWVCEF-Stmt. of Act. by Month'!$AD$29,'LWVCEF-Stmt. of Act. by Month'!$AF$29,'LWVCEF-Stmt. of Act. by Month'!$AF$31,'LWVCEF-Stmt. of Act. by Month'!$AF$32</definedName>
    <definedName name="QB_FORMULA_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" localSheetId="3" hidden="1">'LWVC-Stmt of Activities by Mth'!$T$34,'LWVC-Stmt of Activities by Mth'!$V$34,'LWVC-Stmt of Activities by Mth'!$X$34,'LWVC-Stmt of Activities by Mth'!$Z$34,'LWVC-Stmt of Activities by Mth'!$AB$34,'LWVC-Stmt of Activities by Mth'!$AD$34,'LWVC-Stmt of Activities by Mth'!$AF$34,'LWVC-Stmt of Activities by Mth'!$AF$35,'LWVC-Stmt of Activities by Mth'!$H$36,'LWVC-Stmt of Activities by Mth'!$J$36,'LWVC-Stmt of Activities by Mth'!$L$36,'LWVC-Stmt of Activities by Mth'!$N$36,'LWVC-Stmt of Activities by Mth'!$P$36,'LWVC-Stmt of Activities by Mth'!$R$36,'LWVC-Stmt of Activities by Mth'!$T$36,'LWVC-Stmt of Activities by Mth'!$V$36</definedName>
    <definedName name="QB_FORMULA_5" localSheetId="4" hidden="1">'LWVC-Stmt of Fin. Postn. by Mth'!$X$29,'LWVC-Stmt of Fin. Postn. by Mth'!$Z$29,'LWVC-Stmt of Fin. Postn. by Mth'!$AB$29,'LWVC-Stmt of Fin. Postn. by Mth'!$AD$29,'LWVC-Stmt of Fin. Postn. by Mth'!$H$32,'LWVC-Stmt of Fin. Postn. by Mth'!$J$32,'LWVC-Stmt of Fin. Postn. by Mth'!$L$32,'LWVC-Stmt of Fin. Postn. by Mth'!$N$32,'LWVC-Stmt of Fin. Postn. by Mth'!$P$32,'LWVC-Stmt of Fin. Postn. by Mth'!$R$32,'LWVC-Stmt of Fin. Postn. by Mth'!$T$32,'LWVC-Stmt of Fin. Postn. by Mth'!$V$32,'LWVC-Stmt of Fin. Postn. by Mth'!$X$32,'LWVC-Stmt of Fin. Postn. by Mth'!$Z$32,'LWVC-Stmt of Fin. Postn. by Mth'!$AB$32,'LWVC-Stmt of Fin. Postn. by Mth'!$AD$32</definedName>
    <definedName name="QB_FORMULA_5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3" localSheetId="2" hidden="1">'LWVC-Stmt of Act. by Class'!#REF!,'LWVC-Stmt of Act. by Class'!#REF!,'LWVC-Stmt of Act. by Class'!#REF!,'LWVC-Stmt of Act. by Class'!#REF!,'LWVC-Stmt of Act. by Class'!#REF!,'LWVC-Stmt of Act. by Class'!#REF!</definedName>
    <definedName name="QB_FORMULA_6" localSheetId="6" hidden="1">'LWVCEF-Stmt of Activ. by Class'!$AR$15,'LWVCEF-Stmt of Activ. by Class'!$AT$15,'LWVCEF-Stmt of Activ. by Class'!$AV$15,'LWVCEF-Stmt of Activ. by Class'!$AZ$15,'LWVCEF-Stmt of Activ. by Class'!$BB$15,'LWVCEF-Stmt of Activ. by Class'!$BD$15,'LWVCEF-Stmt of Activ. by Class'!$BF$15,'LWVCEF-Stmt of Activ. by Class'!$BH$15,'LWVCEF-Stmt of Activ. by Class'!$BL$15,'LWVCEF-Stmt of Activ. by Class'!$BN$15,'LWVCEF-Stmt of Activ. by Class'!$BP$15,'LWVCEF-Stmt of Activ. by Class'!$BR$15,'LWVCEF-Stmt of Activ. by Class'!$BT$15,'LWVCEF-Stmt of Activ. by Class'!$BX$15,'LWVCEF-Stmt of Activ. by Class'!$BZ$15,'LWVCEF-Stmt of Activ. by Class'!$CB$15</definedName>
    <definedName name="QB_FORMULA_6" localSheetId="8" hidden="1">'LWVCEF-Stmt of Fin. Pos. by mth'!$H$37,'LWVCEF-Stmt of Fin. Pos. by mth'!$J$37,'LWVCEF-Stmt of Fin. Pos. by mth'!$L$37,'LWVCEF-Stmt of Fin. Pos. by mth'!$N$37,'LWVCEF-Stmt of Fin. Pos. by mth'!$P$37,'LWVCEF-Stmt of Fin. Pos. by mth'!$R$37,'LWVCEF-Stmt of Fin. Pos. by mth'!$T$37,'LWVCEF-Stmt of Fin. Pos. by mth'!$V$37,'LWVCEF-Stmt of Fin. Pos. by mth'!$X$37,'LWVCEF-Stmt of Fin. Pos. by mth'!$Z$37,'LWVCEF-Stmt of Fin. Pos. by mth'!$AB$37,'LWVCEF-Stmt of Fin. Pos. by mth'!$AD$37,'LWVCEF-Stmt of Fin. Pos. by mth'!$H$42,'LWVCEF-Stmt of Fin. Pos. by mth'!$J$42,'LWVCEF-Stmt of Fin. Pos. by mth'!$L$42,'LWVCEF-Stmt of Fin. Pos. by mth'!$N$42</definedName>
    <definedName name="QB_FORMULA_6" localSheetId="7" hidden="1">'LWVCEF-Stmt. of Act. by Month'!$AF$33,'LWVCEF-Stmt. of Act. by Month'!$AF$34,'LWVCEF-Stmt. of Act. by Month'!$AF$35,'LWVCEF-Stmt. of Act. by Month'!$AF$36,'LWVCEF-Stmt. of Act. by Month'!$AF$37,'LWVCEF-Stmt. of Act. by Month'!$AF$38,'LWVCEF-Stmt. of Act. by Month'!$AF$39,'LWVCEF-Stmt. of Act. by Month'!$AF$40,'LWVCEF-Stmt. of Act. by Month'!$AF$41,'LWVCEF-Stmt. of Act. by Month'!$AF$42,'LWVCEF-Stmt. of Act. by Month'!$AF$43,'LWVCEF-Stmt. of Act. by Month'!$AF$44,'LWVCEF-Stmt. of Act. by Month'!$H$45,'LWVCEF-Stmt. of Act. by Month'!$J$45,'LWVCEF-Stmt. of Act. by Month'!$L$45,'LWVCEF-Stmt. of Act. by Month'!$N$45</definedName>
    <definedName name="QB_FORMULA_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6" localSheetId="3" hidden="1">'LWVC-Stmt of Activities by Mth'!$X$36,'LWVC-Stmt of Activities by Mth'!$Z$36,'LWVC-Stmt of Activities by Mth'!$AB$36,'LWVC-Stmt of Activities by Mth'!$AD$36,'LWVC-Stmt of Activities by Mth'!$AF$36,'LWVC-Stmt of Activities by Mth'!$AF$38,'LWVC-Stmt of Activities by Mth'!$AF$39,'LWVC-Stmt of Activities by Mth'!$AF$40,'LWVC-Stmt of Activities by Mth'!$AF$41,'LWVC-Stmt of Activities by Mth'!$AF$42,'LWVC-Stmt of Activities by Mth'!$AF$43,'LWVC-Stmt of Activities by Mth'!$AF$44,'LWVC-Stmt of Activities by Mth'!$AF$45,'LWVC-Stmt of Activities by Mth'!$AF$46,'LWVC-Stmt of Activities by Mth'!$AF$47,'LWVC-Stmt of Activities by Mth'!$AF$48</definedName>
    <definedName name="QB_FORMULA_6" localSheetId="4" hidden="1">'LWVC-Stmt of Fin. Postn. by Mth'!$H$33,'LWVC-Stmt of Fin. Postn. by Mth'!$J$33,'LWVC-Stmt of Fin. Postn. by Mth'!$L$33,'LWVC-Stmt of Fin. Postn. by Mth'!$N$33,'LWVC-Stmt of Fin. Postn. by Mth'!$P$33,'LWVC-Stmt of Fin. Postn. by Mth'!$R$33,'LWVC-Stmt of Fin. Postn. by Mth'!$T$33,'LWVC-Stmt of Fin. Postn. by Mth'!$V$33,'LWVC-Stmt of Fin. Postn. by Mth'!$X$33,'LWVC-Stmt of Fin. Postn. by Mth'!$Z$33,'LWVC-Stmt of Fin. Postn. by Mth'!$AB$33,'LWVC-Stmt of Fin. Postn. by Mth'!$AD$33,'LWVC-Stmt of Fin. Postn. by Mth'!$H$39,'LWVC-Stmt of Fin. Postn. by Mth'!$J$39,'LWVC-Stmt of Fin. Postn. by Mth'!$L$39,'LWVC-Stmt of Fin. Postn. by Mth'!$N$39</definedName>
    <definedName name="QB_FORMULA_7" localSheetId="6" hidden="1">'LWVCEF-Stmt of Activ. by Class'!$CD$15,'LWVCEF-Stmt of Activ. by Class'!$CF$15,'LWVCEF-Stmt of Activ. by Class'!$CH$15,'LWVCEF-Stmt of Activ. by Class'!$CN$15,'LWVCEF-Stmt of Activ. by Class'!$CP$15,'LWVCEF-Stmt of Activ. by Class'!$P$17,'LWVCEF-Stmt of Activ. by Class'!$AR$17,'LWVCEF-Stmt of Activ. by Class'!$BD$17,'LWVCEF-Stmt of Activ. by Class'!$BP$17,'LWVCEF-Stmt of Activ. by Class'!$BR$17,'LWVCEF-Stmt of Activ. by Class'!$CB$17,'LWVCEF-Stmt of Activ. by Class'!$CF$17,'LWVCEF-Stmt of Activ. by Class'!$CH$17,'LWVCEF-Stmt of Activ. by Class'!$CN$17,'LWVCEF-Stmt of Activ. by Class'!$CP$17,'LWVCEF-Stmt of Activ. by Class'!$P$18</definedName>
    <definedName name="QB_FORMULA_7" localSheetId="8" hidden="1">'LWVCEF-Stmt of Fin. Pos. by mth'!$P$42,'LWVCEF-Stmt of Fin. Pos. by mth'!$R$42,'LWVCEF-Stmt of Fin. Pos. by mth'!$T$42,'LWVCEF-Stmt of Fin. Pos. by mth'!$V$42,'LWVCEF-Stmt of Fin. Pos. by mth'!$X$42,'LWVCEF-Stmt of Fin. Pos. by mth'!$Z$42,'LWVCEF-Stmt of Fin. Pos. by mth'!$AB$42,'LWVCEF-Stmt of Fin. Pos. by mth'!$AD$42,'LWVCEF-Stmt of Fin. Pos. by mth'!$H$63,'LWVCEF-Stmt of Fin. Pos. by mth'!$J$63,'LWVCEF-Stmt of Fin. Pos. by mth'!$L$63,'LWVCEF-Stmt of Fin. Pos. by mth'!$N$63,'LWVCEF-Stmt of Fin. Pos. by mth'!$P$63,'LWVCEF-Stmt of Fin. Pos. by mth'!$R$63,'LWVCEF-Stmt of Fin. Pos. by mth'!$T$63,'LWVCEF-Stmt of Fin. Pos. by mth'!$V$63</definedName>
    <definedName name="QB_FORMULA_7" localSheetId="7" hidden="1">'LWVCEF-Stmt. of Act. by Month'!$P$45,'LWVCEF-Stmt. of Act. by Month'!$R$45,'LWVCEF-Stmt. of Act. by Month'!$T$45,'LWVCEF-Stmt. of Act. by Month'!$V$45,'LWVCEF-Stmt. of Act. by Month'!$X$45,'LWVCEF-Stmt. of Act. by Month'!$Z$45,'LWVCEF-Stmt. of Act. by Month'!$AB$45,'LWVCEF-Stmt. of Act. by Month'!$AD$45,'LWVCEF-Stmt. of Act. by Month'!$AF$45,'LWVCEF-Stmt. of Act. by Month'!$H$46,'LWVCEF-Stmt. of Act. by Month'!$J$46,'LWVCEF-Stmt. of Act. by Month'!$L$46,'LWVCEF-Stmt. of Act. by Month'!$N$46,'LWVCEF-Stmt. of Act. by Month'!$P$46,'LWVCEF-Stmt. of Act. by Month'!$R$46,'LWVCEF-Stmt. of Act. by Month'!$T$46</definedName>
    <definedName name="QB_FORMULA_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7" localSheetId="3" hidden="1">'LWVC-Stmt of Activities by Mth'!$AF$49,'LWVC-Stmt of Activities by Mth'!$AF$50,'LWVC-Stmt of Activities by Mth'!$AF$51,'LWVC-Stmt of Activities by Mth'!$AF$52,'LWVC-Stmt of Activities by Mth'!$AF$53,'LWVC-Stmt of Activities by Mth'!$AF$54,'LWVC-Stmt of Activities by Mth'!$H$55,'LWVC-Stmt of Activities by Mth'!$J$55,'LWVC-Stmt of Activities by Mth'!$L$55,'LWVC-Stmt of Activities by Mth'!$N$55,'LWVC-Stmt of Activities by Mth'!$P$55,'LWVC-Stmt of Activities by Mth'!$R$55,'LWVC-Stmt of Activities by Mth'!$T$55,'LWVC-Stmt of Activities by Mth'!$V$55,'LWVC-Stmt of Activities by Mth'!$X$55,'LWVC-Stmt of Activities by Mth'!$Z$55</definedName>
    <definedName name="QB_FORMULA_7" localSheetId="4" hidden="1">'LWVC-Stmt of Fin. Postn. by Mth'!$P$39,'LWVC-Stmt of Fin. Postn. by Mth'!$R$39,'LWVC-Stmt of Fin. Postn. by Mth'!$T$39,'LWVC-Stmt of Fin. Postn. by Mth'!$V$39,'LWVC-Stmt of Fin. Postn. by Mth'!$X$39,'LWVC-Stmt of Fin. Postn. by Mth'!$Z$39,'LWVC-Stmt of Fin. Postn. by Mth'!$AB$39,'LWVC-Stmt of Fin. Postn. by Mth'!$AD$39,'LWVC-Stmt of Fin. Postn. by Mth'!$H$46,'LWVC-Stmt of Fin. Postn. by Mth'!$J$46,'LWVC-Stmt of Fin. Postn. by Mth'!$L$46,'LWVC-Stmt of Fin. Postn. by Mth'!$N$46,'LWVC-Stmt of Fin. Postn. by Mth'!$P$46,'LWVC-Stmt of Fin. Postn. by Mth'!$R$46,'LWVC-Stmt of Fin. Postn. by Mth'!$T$46,'LWVC-Stmt of Fin. Postn. by Mth'!$V$46</definedName>
    <definedName name="QB_FORMULA_8" localSheetId="6" hidden="1">'LWVCEF-Stmt of Activ. by Class'!$AR$18,'LWVCEF-Stmt of Activ. by Class'!$BD$18,'LWVCEF-Stmt of Activ. by Class'!$BP$18,'LWVCEF-Stmt of Activ. by Class'!$CB$18,'LWVCEF-Stmt of Activ. by Class'!$CF$18,'LWVCEF-Stmt of Activ. by Class'!$CN$18,'LWVCEF-Stmt of Activ. by Class'!$CP$18,'LWVCEF-Stmt of Activ. by Class'!$P$20,'LWVCEF-Stmt of Activ. by Class'!$AR$20,'LWVCEF-Stmt of Activ. by Class'!$BD$20,'LWVCEF-Stmt of Activ. by Class'!$BP$20,'LWVCEF-Stmt of Activ. by Class'!$BR$20,'LWVCEF-Stmt of Activ. by Class'!$CB$20,'LWVCEF-Stmt of Activ. by Class'!$CD$20,'LWVCEF-Stmt of Activ. by Class'!$CF$20,'LWVCEF-Stmt of Activ. by Class'!$CH$20</definedName>
    <definedName name="QB_FORMULA_8" localSheetId="8" hidden="1">'LWVCEF-Stmt of Fin. Pos. by mth'!$X$63,'LWVCEF-Stmt of Fin. Pos. by mth'!$Z$63,'LWVCEF-Stmt of Fin. Pos. by mth'!$AB$63,'LWVCEF-Stmt of Fin. Pos. by mth'!$AD$63,'LWVCEF-Stmt of Fin. Pos. by mth'!$H$79,'LWVCEF-Stmt of Fin. Pos. by mth'!$J$79,'LWVCEF-Stmt of Fin. Pos. by mth'!$L$79,'LWVCEF-Stmt of Fin. Pos. by mth'!$N$79,'LWVCEF-Stmt of Fin. Pos. by mth'!$P$79,'LWVCEF-Stmt of Fin. Pos. by mth'!$R$79,'LWVCEF-Stmt of Fin. Pos. by mth'!$T$79,'LWVCEF-Stmt of Fin. Pos. by mth'!$V$79,'LWVCEF-Stmt of Fin. Pos. by mth'!$X$79,'LWVCEF-Stmt of Fin. Pos. by mth'!$Z$79,'LWVCEF-Stmt of Fin. Pos. by mth'!$AB$79,'LWVCEF-Stmt of Fin. Pos. by mth'!$AD$79</definedName>
    <definedName name="QB_FORMULA_8" localSheetId="7" hidden="1">'LWVCEF-Stmt. of Act. by Month'!$V$46,'LWVCEF-Stmt. of Act. by Month'!$X$46,'LWVCEF-Stmt. of Act. by Month'!$Z$46,'LWVCEF-Stmt. of Act. by Month'!$AB$46,'LWVCEF-Stmt. of Act. by Month'!$AD$46,'LWVCEF-Stmt. of Act. by Month'!$AF$46,'LWVCEF-Stmt.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</definedName>
    <definedName name="QB_FORMULA_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8" localSheetId="3" hidden="1">'LWVC-Stmt of Activities by Mth'!$AB$55,'LWVC-Stmt of Activities by Mth'!$AD$55,'LWVC-Stmt of Activities by Mth'!$AF$55,'LWVC-Stmt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</definedName>
    <definedName name="QB_FORMULA_8" localSheetId="4" hidden="1">'LWVC-Stmt of Fin. Postn. by Mth'!$X$46,'LWVC-Stmt of Fin. Postn. by Mth'!$Z$46,'LWVC-Stmt of Fin. Postn. by Mth'!$AB$46,'LWVC-Stmt of Fin. Postn. by Mth'!$AD$46,'LWVC-Stmt of Fin. Postn. by Mth'!$H$48,'LWVC-Stmt of Fin. Postn. by Mth'!$J$48,'LWVC-Stmt of Fin. Postn. by Mth'!$L$48,'LWVC-Stmt of Fin. Postn. by Mth'!$N$48,'LWVC-Stmt of Fin. Postn. by Mth'!$P$48,'LWVC-Stmt of Fin. Postn. by Mth'!$R$48,'LWVC-Stmt of Fin. Postn. by Mth'!$T$48,'LWVC-Stmt of Fin. Postn. by Mth'!$V$48,'LWVC-Stmt of Fin. Postn. by Mth'!$X$48,'LWVC-Stmt of Fin. Postn. by Mth'!$Z$48,'LWVC-Stmt of Fin. Postn. by Mth'!$AB$48,'LWVC-Stmt of Fin. Postn. by Mth'!$AD$48</definedName>
    <definedName name="QB_FORMULA_9" localSheetId="6" hidden="1">'LWVCEF-Stmt of Activ. by Class'!$CN$20,'LWVCEF-Stmt of Activ. by Class'!$CP$20,'LWVCEF-Stmt of Activ. by Class'!$H$21,'LWVCEF-Stmt of Activ. by Class'!$L$21,'LWVCEF-Stmt of Activ. by Class'!$P$21,'LWVCEF-Stmt of Activ. by Class'!$T$21,'LWVCEF-Stmt of Activ. by Class'!$X$21,'LWVCEF-Stmt of Activ. by Class'!$AJ$21,'LWVCEF-Stmt of Activ. by Class'!$AN$21,'LWVCEF-Stmt of Activ. by Class'!$AR$21,'LWVCEF-Stmt of Activ. by Class'!$AV$21,'LWVCEF-Stmt of Activ. by Class'!$AZ$21,'LWVCEF-Stmt of Activ. by Class'!$BD$21,'LWVCEF-Stmt of Activ. by Class'!$BH$21,'LWVCEF-Stmt of Activ. by Class'!$BL$21,'LWVCEF-Stmt of Activ. by Class'!$BN$21</definedName>
    <definedName name="QB_FORMULA_9" localSheetId="8" hidden="1">'LWVCEF-Stmt of Fin. Pos. by mth'!$H$82,'LWVCEF-Stmt of Fin. Pos. by mth'!$J$82,'LWVCEF-Stmt of Fin. Pos. by mth'!$L$82,'LWVCEF-Stmt of Fin. Pos. by mth'!$N$82,'LWVCEF-Stmt of Fin. Pos. by mth'!$P$82,'LWVCEF-Stmt of Fin. Pos. by mth'!$R$82,'LWVCEF-Stmt of Fin. Pos. by mth'!$T$82,'LWVCEF-Stmt of Fin. Pos. by mth'!$V$82,'LWVCEF-Stmt of Fin. Pos. by mth'!$X$82,'LWVCEF-Stmt of Fin. Pos. by mth'!$Z$82,'LWVCEF-Stmt of Fin. Pos. by mth'!$AB$82,'LWVCEF-Stmt of Fin. Pos. by mth'!$AD$82,'LWVCEF-Stmt of Fin. Pos. by mth'!$H$83,'LWVCEF-Stmt of Fin. Pos. by mth'!$J$83,'LWVCEF-Stmt of Fin. Pos. by mth'!$L$83,'LWVCEF-Stmt of Fin. Pos. by mth'!$N$83</definedName>
    <definedName name="QB_FORMULA_9" localSheetId="7" hidden="1">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</definedName>
    <definedName name="QB_FORMULA_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9" localSheetId="3" hidden="1">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</definedName>
    <definedName name="QB_FORMULA_9" localSheetId="4" hidden="1">'LWVC-Stmt of Fin. Postn. by Mth'!$H$49,'LWVC-Stmt of Fin. Postn. by Mth'!$J$49,'LWVC-Stmt of Fin. Postn. by Mth'!$L$49,'LWVC-Stmt of Fin. Postn. by Mth'!$N$49,'LWVC-Stmt of Fin. Postn. by Mth'!$P$49,'LWVC-Stmt of Fin. Postn. by Mth'!$R$49,'LWVC-Stmt of Fin. Postn. by Mth'!$T$49,'LWVC-Stmt of Fin. Postn. by Mth'!$V$49,'LWVC-Stmt of Fin. Postn. by Mth'!$X$49,'LWVC-Stmt of Fin. Postn. by Mth'!$Z$49,'LWVC-Stmt of Fin. Postn. by Mth'!$AB$49,'LWVC-Stmt of Fin. Postn. by Mth'!$AD$49,'LWVC-Stmt of Fin. Postn. by Mth'!$H$53,'LWVC-Stmt of Fin. Postn. by Mth'!$J$53,'LWVC-Stmt of Fin. Postn. by Mth'!$L$53,'LWVC-Stmt of Fin. Postn. by Mth'!$N$53</definedName>
    <definedName name="QB_ROW_1" localSheetId="8" hidden="1">'LWVCEF-Stmt of Fin. Pos. by mth'!$A$2</definedName>
    <definedName name="QB_ROW_1" localSheetId="4" hidden="1">'LWVC-Stmt of Fin. Postn. by Mth'!$A$2</definedName>
    <definedName name="QB_ROW_10031" localSheetId="8" hidden="1">'LWVCEF-Stmt of Fin. Pos. by mth'!$D$35</definedName>
    <definedName name="QB_ROW_10031" localSheetId="4" hidden="1">'LWVC-Stmt of Fin. Postn. by Mth'!$D$37</definedName>
    <definedName name="QB_ROW_1011" localSheetId="8" hidden="1">'LWVCEF-Stmt of Fin. Pos. by mth'!$B$3</definedName>
    <definedName name="QB_ROW_1011" localSheetId="4" hidden="1">'LWVC-Stmt of Fin. Postn. by Mth'!$B$3</definedName>
    <definedName name="QB_ROW_10331" localSheetId="8" hidden="1">'LWVCEF-Stmt of Fin. Pos. by mth'!$D$37</definedName>
    <definedName name="QB_ROW_10331" localSheetId="4" hidden="1">'LWVC-Stmt of Fin. Postn. by Mth'!$D$39</definedName>
    <definedName name="QB_ROW_11031" localSheetId="4" hidden="1">'LWVC-Stmt of Fin. Postn. by Mth'!$D$40</definedName>
    <definedName name="QB_ROW_11331" localSheetId="4" hidden="1">'LWVC-Stmt of Fin. Postn. by Mth'!$D$49</definedName>
    <definedName name="QB_ROW_12030" localSheetId="4" hidden="1">'LWVC-Stmt of Fin. Postn. by Mth'!$D$17</definedName>
    <definedName name="QB_ROW_12031" localSheetId="8" hidden="1">'LWVCEF-Stmt of Fin. Pos. by mth'!$D$38</definedName>
    <definedName name="QB_ROW_12031" localSheetId="4" hidden="1">'LWVC-Stmt of Fin. Postn. by Mth'!$D$50</definedName>
    <definedName name="QB_ROW_12240" localSheetId="4" hidden="1">'LWVC-Stmt of Fin. Postn. by Mth'!$E$19</definedName>
    <definedName name="QB_ROW_12330" localSheetId="4" hidden="1">'LWVC-Stmt of Fin. Postn. by Mth'!$D$20</definedName>
    <definedName name="QB_ROW_12331" localSheetId="8" hidden="1">'LWVCEF-Stmt of Fin. Pos. by mth'!$D$82</definedName>
    <definedName name="QB_ROW_12331" localSheetId="4" hidden="1">'LWVC-Stmt of Fin. Postn. by Mth'!$D$63</definedName>
    <definedName name="QB_ROW_1240" localSheetId="8" hidden="1">'LWVCEF-Stmt of Fin. Pos. by mth'!$E$80</definedName>
    <definedName name="QB_ROW_1240" localSheetId="4" hidden="1">'LWVC-Stmt of Fin. Postn. by Mth'!$E$61</definedName>
    <definedName name="QB_ROW_13021" localSheetId="4" hidden="1">'LWVC-Stmt of Fin. Postn. by Mth'!$C$65</definedName>
    <definedName name="QB_ROW_1311" localSheetId="8" hidden="1">'LWVCEF-Stmt of Fin. Pos. by mth'!$B$25</definedName>
    <definedName name="QB_ROW_1311" localSheetId="4" hidden="1">'LWVC-Stmt of Fin. Postn. by Mth'!$B$24</definedName>
    <definedName name="QB_ROW_13321" localSheetId="4" hidden="1">'LWVC-Stmt of Fin. Postn. by Mth'!$C$67</definedName>
    <definedName name="QB_ROW_135240" localSheetId="2" hidden="1">'LWVC-Stmt of Act. by Class'!#REF!</definedName>
    <definedName name="QB_ROW_135240" localSheetId="3" hidden="1">'LWVC-Stmt of Activities by Mth'!$E$39</definedName>
    <definedName name="QB_ROW_139340" localSheetId="2" hidden="1">'LWVC-Stmt of Act. by Class'!#REF!</definedName>
    <definedName name="QB_ROW_139340" localSheetId="3" hidden="1">'LWVC-Stmt of Activities by Mth'!$E$45</definedName>
    <definedName name="QB_ROW_14011" localSheetId="8" hidden="1">'LWVCEF-Stmt of Fin. Pos. by mth'!$B$85</definedName>
    <definedName name="QB_ROW_14011" localSheetId="4" hidden="1">'LWVC-Stmt of Fin. Postn. by Mth'!$B$69</definedName>
    <definedName name="QB_ROW_140240" localSheetId="2" hidden="1">'LWVC-Stmt of Act. by Class'!#REF!</definedName>
    <definedName name="QB_ROW_140240" localSheetId="3" hidden="1">'LWVC-Stmt of Activities by Mth'!$E$43</definedName>
    <definedName name="QB_ROW_141240" localSheetId="2" hidden="1">'LWVC-Stmt of Act. by Class'!#REF!</definedName>
    <definedName name="QB_ROW_141240" localSheetId="3" hidden="1">'LWVC-Stmt of Activities by Mth'!$E$44</definedName>
    <definedName name="QB_ROW_142240" localSheetId="2" hidden="1">'LWVC-Stmt of Act. by Class'!#REF!</definedName>
    <definedName name="QB_ROW_142240" localSheetId="3" hidden="1">'LWVC-Stmt of Activities by Mth'!$E$47</definedName>
    <definedName name="QB_ROW_14311" localSheetId="8" hidden="1">'LWVCEF-Stmt of Fin. Pos. by mth'!#REF!</definedName>
    <definedName name="QB_ROW_14311" localSheetId="4" hidden="1">'LWVC-Stmt of Fin. Postn. by Mth'!$B$81</definedName>
    <definedName name="QB_ROW_143240" localSheetId="2" hidden="1">'LWVC-Stmt of Act. by Class'!#REF!</definedName>
    <definedName name="QB_ROW_143240" localSheetId="3" hidden="1">'LWVC-Stmt of Activities by Mth'!$E$42</definedName>
    <definedName name="QB_ROW_144340" localSheetId="2" hidden="1">'LWVC-Stmt of Act. by Class'!#REF!</definedName>
    <definedName name="QB_ROW_144340" localSheetId="3" hidden="1">'LWVC-Stmt of Activities by Mth'!$E$46</definedName>
    <definedName name="QB_ROW_15040" localSheetId="2" hidden="1">'LWVC-Stmt of Act. by Class'!#REF!</definedName>
    <definedName name="QB_ROW_15040" localSheetId="3" hidden="1">'LWVC-Stmt of Activities by Mth'!$E$17</definedName>
    <definedName name="QB_ROW_15340" localSheetId="2" hidden="1">'LWVC-Stmt of Act. by Class'!#REF!</definedName>
    <definedName name="QB_ROW_15340" localSheetId="3" hidden="1">'LWVC-Stmt of Activities by Mth'!$E$30</definedName>
    <definedName name="QB_ROW_15350" localSheetId="9" hidden="1">'FASB117 '!$F$25</definedName>
    <definedName name="QB_ROW_15350" localSheetId="6" hidden="1">'LWVCEF-Stmt of Activ. by Class'!$F$20</definedName>
    <definedName name="QB_ROW_15350" localSheetId="7" hidden="1">'LWVCEF-Stmt. of Act. by Month'!$F$20</definedName>
    <definedName name="QB_ROW_16040" localSheetId="2" hidden="1">'LWVC-Stmt of Act. by Class'!#REF!</definedName>
    <definedName name="QB_ROW_16040" localSheetId="3" hidden="1">'LWVC-Stmt of Activities by Mth'!$E$4</definedName>
    <definedName name="QB_ROW_163240" localSheetId="4" hidden="1">'LWVC-Stmt of Fin. Postn. by Mth'!$E$60</definedName>
    <definedName name="QB_ROW_16340" localSheetId="2" hidden="1">'LWVC-Stmt of Act. by Class'!#REF!</definedName>
    <definedName name="QB_ROW_16340" localSheetId="3" hidden="1">'LWVC-Stmt of Activities by Mth'!$E$8</definedName>
    <definedName name="QB_ROW_165240" localSheetId="4" hidden="1">'LWVC-Stmt of Fin. Postn. by Mth'!$E$38</definedName>
    <definedName name="QB_ROW_166340" localSheetId="9" hidden="1">'FASB117 '!$E$45</definedName>
    <definedName name="QB_ROW_166340" localSheetId="6" hidden="1">'LWVCEF-Stmt of Activ. by Class'!$E$31</definedName>
    <definedName name="QB_ROW_166340" localSheetId="7" hidden="1">'LWVCEF-Stmt. of Act. by Month'!$E$32</definedName>
    <definedName name="QB_ROW_169220" localSheetId="4" hidden="1">'LWVC-Stmt of Fin. Postn. by Mth'!$C$27</definedName>
    <definedName name="QB_ROW_171220" localSheetId="4" hidden="1">'LWVC-Stmt of Fin. Postn. by Mth'!$C$28</definedName>
    <definedName name="QB_ROW_171240" localSheetId="9" hidden="1">'FASB117 '!$E$52</definedName>
    <definedName name="QB_ROW_171240" localSheetId="6" hidden="1">'LWVCEF-Stmt of Activ. by Class'!$E$37</definedName>
    <definedName name="QB_ROW_171240" localSheetId="7" hidden="1">'LWVCEF-Stmt. of Act. by Month'!$E$38</definedName>
    <definedName name="QB_ROW_17221" localSheetId="8" hidden="1">'LWVCEF-Stmt of Fin. Pos. by mth'!#REF!</definedName>
    <definedName name="QB_ROW_17221" localSheetId="4" hidden="1">'LWVC-Stmt of Fin. Postn. by Mth'!$C$80</definedName>
    <definedName name="QB_ROW_172240" localSheetId="9" hidden="1">'FASB117 '!$E$50</definedName>
    <definedName name="QB_ROW_172240" localSheetId="6" hidden="1">'LWVCEF-Stmt of Activ. by Class'!$E$35</definedName>
    <definedName name="QB_ROW_172240" localSheetId="7" hidden="1">'LWVCEF-Stmt. of Act. by Month'!$E$36</definedName>
    <definedName name="QB_ROW_17250" localSheetId="2" hidden="1">'LWVC-Stmt of Act. by Class'!#REF!</definedName>
    <definedName name="QB_ROW_17250" localSheetId="3" hidden="1">'LWVC-Stmt of Activities by Mth'!$F$7</definedName>
    <definedName name="QB_ROW_173230" localSheetId="4" hidden="1">'LWVC-Stmt of Fin. Postn. by Mth'!$D$11</definedName>
    <definedName name="QB_ROW_173240" localSheetId="9" hidden="1">'FASB117 '!$E$51</definedName>
    <definedName name="QB_ROW_173240" localSheetId="6" hidden="1">'LWVCEF-Stmt of Activ. by Class'!$E$36</definedName>
    <definedName name="QB_ROW_173240" localSheetId="7" hidden="1">'LWVCEF-Stmt. of Act. by Month'!$E$37</definedName>
    <definedName name="QB_ROW_174240" localSheetId="9" hidden="1">'FASB117 '!$E$54</definedName>
    <definedName name="QB_ROW_174240" localSheetId="6" hidden="1">'LWVCEF-Stmt of Activ. by Class'!$E$39</definedName>
    <definedName name="QB_ROW_174240" localSheetId="7" hidden="1">'LWVCEF-Stmt. of Act. by Month'!$E$40</definedName>
    <definedName name="QB_ROW_175240" localSheetId="9" hidden="1">'FASB117 '!$E$49</definedName>
    <definedName name="QB_ROW_175240" localSheetId="6" hidden="1">'LWVCEF-Stmt of Activ. by Class'!$E$34</definedName>
    <definedName name="QB_ROW_175240" localSheetId="7" hidden="1">'LWVCEF-Stmt. of Act. by Month'!$E$35</definedName>
    <definedName name="QB_ROW_176340" localSheetId="9" hidden="1">'FASB117 '!$E$53</definedName>
    <definedName name="QB_ROW_176340" localSheetId="6" hidden="1">'LWVCEF-Stmt of Activ. by Class'!$E$38</definedName>
    <definedName name="QB_ROW_176340" localSheetId="7" hidden="1">'LWVCEF-Stmt. of Act. by Month'!$E$39</definedName>
    <definedName name="QB_ROW_178250" localSheetId="3" hidden="1">'LWVC-Stmt of Activities by Mth'!$F$22</definedName>
    <definedName name="QB_ROW_18220" localSheetId="4" hidden="1">'LWVC-Stmt of Fin. Postn. by Mth'!$C$70</definedName>
    <definedName name="QB_ROW_18301" localSheetId="9" hidden="1">'FASB117 '!#REF!</definedName>
    <definedName name="QB_ROW_18301" localSheetId="6" hidden="1">'LWVCEF-Stmt of Activ. by Class'!$A$48</definedName>
    <definedName name="QB_ROW_18301" localSheetId="7" hidden="1">'LWVCEF-Stmt. of Act. by Month'!#REF!</definedName>
    <definedName name="QB_ROW_18301" localSheetId="2" hidden="1">'LWVC-Stmt of Act. by Class'!#REF!</definedName>
    <definedName name="QB_ROW_18301" localSheetId="3" hidden="1">'LWVC-Stmt of Activities by Mth'!#REF!</definedName>
    <definedName name="QB_ROW_190040" localSheetId="4" hidden="1">'LWVC-Stmt of Fin. Postn. by Mth'!$E$41</definedName>
    <definedName name="QB_ROW_19011" localSheetId="9" hidden="1">'FASB117 '!$B$2</definedName>
    <definedName name="QB_ROW_19011" localSheetId="6" hidden="1">'LWVCEF-Stmt of Activ. by Class'!$B$4</definedName>
    <definedName name="QB_ROW_19011" localSheetId="7" hidden="1">'LWVCEF-Stmt. of Act. by Month'!$B$2</definedName>
    <definedName name="QB_ROW_19011" localSheetId="2" hidden="1">'LWVC-Stmt of Act. by Class'!#REF!</definedName>
    <definedName name="QB_ROW_19011" localSheetId="3" hidden="1">'LWVC-Stmt of Activities by Mth'!$B$2</definedName>
    <definedName name="QB_ROW_190250" localSheetId="8" hidden="1">'LWVCEF-Stmt of Fin. Pos. by mth'!$F$45</definedName>
    <definedName name="QB_ROW_190250" localSheetId="4" hidden="1">'LWVC-Stmt of Fin. Postn. by Mth'!$F$47</definedName>
    <definedName name="QB_ROW_190340" localSheetId="4" hidden="1">'LWVC-Stmt of Fin. Postn. by Mth'!$E$48</definedName>
    <definedName name="QB_ROW_19250" localSheetId="2" hidden="1">'LWVC-Stmt of Act. by Class'!#REF!</definedName>
    <definedName name="QB_ROW_19250" localSheetId="3" hidden="1">'LWVC-Stmt of Activities by Mth'!$F$21</definedName>
    <definedName name="QB_ROW_19311" localSheetId="9" hidden="1">'FASB117 '!$B$62</definedName>
    <definedName name="QB_ROW_19311" localSheetId="6" hidden="1">'LWVCEF-Stmt of Activ. by Class'!$B$47</definedName>
    <definedName name="QB_ROW_19311" localSheetId="7" hidden="1">'LWVCEF-Stmt. of Act. by Month'!$B$46</definedName>
    <definedName name="QB_ROW_19311" localSheetId="2" hidden="1">'LWVC-Stmt of Act. by Class'!#REF!</definedName>
    <definedName name="QB_ROW_19311" localSheetId="3" hidden="1">'LWVC-Stmt of Activities by Mth'!#REF!</definedName>
    <definedName name="QB_ROW_194220" localSheetId="4" hidden="1">'LWVC-Stmt of Fin. Postn. by Mth'!$C$31</definedName>
    <definedName name="QB_ROW_194250" localSheetId="8" hidden="1">'LWVCEF-Stmt of Fin. Pos. by mth'!$F$46</definedName>
    <definedName name="QB_ROW_195240" localSheetId="2" hidden="1">'LWVC-Stmt of Act. by Class'!#REF!</definedName>
    <definedName name="QB_ROW_195240" localSheetId="3" hidden="1">'LWVC-Stmt of Activities by Mth'!$E$52</definedName>
    <definedName name="QB_ROW_196230" localSheetId="4" hidden="1">'LWVC-Stmt of Fin. Postn. by Mth'!$D$16</definedName>
    <definedName name="QB_ROW_196350" localSheetId="8" hidden="1">'LWVCEF-Stmt of Fin. Pos. by mth'!$F$47</definedName>
    <definedName name="QB_ROW_198350" localSheetId="8" hidden="1">'LWVCEF-Stmt of Fin. Pos. by mth'!$F$48</definedName>
    <definedName name="QB_ROW_199240" localSheetId="2" hidden="1">'LWVC-Stmt of Act. by Class'!#REF!</definedName>
    <definedName name="QB_ROW_199250" localSheetId="8" hidden="1">'LWVCEF-Stmt of Fin. Pos. by mth'!$F$49</definedName>
    <definedName name="QB_ROW_200230" localSheetId="4" hidden="1">'LWVC-Stmt of Fin. Postn. by Mth'!$D$14</definedName>
    <definedName name="QB_ROW_20031" localSheetId="9" hidden="1">'FASB117 '!$D$3</definedName>
    <definedName name="QB_ROW_20031" localSheetId="6" hidden="1">'LWVCEF-Stmt of Activ. by Class'!$D$5</definedName>
    <definedName name="QB_ROW_20031" localSheetId="7" hidden="1">'LWVCEF-Stmt. of Act. by Month'!$D$3</definedName>
    <definedName name="QB_ROW_20031" localSheetId="2" hidden="1">'LWVC-Stmt of Act. by Class'!#REF!</definedName>
    <definedName name="QB_ROW_20031" localSheetId="3" hidden="1">'LWVC-Stmt of Activities by Mth'!$D$3</definedName>
    <definedName name="QB_ROW_2021" localSheetId="8" hidden="1">'LWVCEF-Stmt of Fin. Pos. by mth'!$C$4</definedName>
    <definedName name="QB_ROW_2021" localSheetId="4" hidden="1">'LWVC-Stmt of Fin. Postn. by Mth'!$C$4</definedName>
    <definedName name="QB_ROW_20331" localSheetId="9" hidden="1">'FASB117 '!$D$34</definedName>
    <definedName name="QB_ROW_20331" localSheetId="6" hidden="1">'LWVCEF-Stmt of Activ. by Class'!$D$25</definedName>
    <definedName name="QB_ROW_20331" localSheetId="7" hidden="1">'LWVCEF-Stmt. of Act. by Month'!$D$25</definedName>
    <definedName name="QB_ROW_20331" localSheetId="2" hidden="1">'LWVC-Stmt of Act. by Class'!#REF!</definedName>
    <definedName name="QB_ROW_20331" localSheetId="3" hidden="1">'LWVC-Stmt of Activities by Mth'!$D$34</definedName>
    <definedName name="QB_ROW_20350" localSheetId="2" hidden="1">'LWVC-Stmt of Act. by Class'!#REF!</definedName>
    <definedName name="QB_ROW_20350" localSheetId="3" hidden="1">'LWVC-Stmt of Activities by Mth'!$F$23</definedName>
    <definedName name="QB_ROW_205040" localSheetId="2" hidden="1">'LWVC-Stmt of Act. by Class'!#REF!</definedName>
    <definedName name="QB_ROW_205040" localSheetId="3" hidden="1">'LWVC-Stmt of Activities by Mth'!$E$9</definedName>
    <definedName name="QB_ROW_205340" localSheetId="2" hidden="1">'LWVC-Stmt of Act. by Class'!#REF!</definedName>
    <definedName name="QB_ROW_205340" localSheetId="3" hidden="1">'LWVC-Stmt of Activities by Mth'!$E$16</definedName>
    <definedName name="QB_ROW_205350" localSheetId="8" hidden="1">'LWVCEF-Stmt of Fin. Pos. by mth'!$F$50</definedName>
    <definedName name="QB_ROW_206250" localSheetId="8" hidden="1">'LWVCEF-Stmt of Fin. Pos. by mth'!$F$51</definedName>
    <definedName name="QB_ROW_207250" localSheetId="8" hidden="1">'LWVCEF-Stmt of Fin. Pos. by mth'!$F$52</definedName>
    <definedName name="QB_ROW_207250" localSheetId="2" hidden="1">'LWVC-Stmt of Act. by Class'!#REF!</definedName>
    <definedName name="QB_ROW_209250" localSheetId="2" hidden="1">'LWVC-Stmt of Act. by Class'!#REF!</definedName>
    <definedName name="QB_ROW_209250" localSheetId="3" hidden="1">'LWVC-Stmt of Activities by Mth'!$F$13</definedName>
    <definedName name="QB_ROW_210240" localSheetId="2" hidden="1">'LWVC-Stmt of Act. by Class'!#REF!</definedName>
    <definedName name="QB_ROW_210240" localSheetId="3" hidden="1">'LWVC-Stmt of Activities by Mth'!$E$41</definedName>
    <definedName name="QB_ROW_21031" localSheetId="9" hidden="1">'FASB117 '!$D$42</definedName>
    <definedName name="QB_ROW_21031" localSheetId="6" hidden="1">'LWVCEF-Stmt of Activ. by Class'!$D$28</definedName>
    <definedName name="QB_ROW_21031" localSheetId="7" hidden="1">'LWVCEF-Stmt. of Act. by Month'!$D$30</definedName>
    <definedName name="QB_ROW_21031" localSheetId="2" hidden="1">'LWVC-Stmt of Act. by Class'!#REF!</definedName>
    <definedName name="QB_ROW_21031" localSheetId="3" hidden="1">'LWVC-Stmt of Activities by Mth'!$D$37</definedName>
    <definedName name="QB_ROW_211240" localSheetId="2" hidden="1">'LWVC-Stmt of Act. by Class'!#REF!</definedName>
    <definedName name="QB_ROW_211240" localSheetId="3" hidden="1">'LWVC-Stmt of Activities by Mth'!$E$48</definedName>
    <definedName name="QB_ROW_212240" localSheetId="2" hidden="1">'LWVC-Stmt of Act. by Class'!#REF!</definedName>
    <definedName name="QB_ROW_212240" localSheetId="3" hidden="1">'LWVC-Stmt of Activities by Mth'!$E$51</definedName>
    <definedName name="QB_ROW_213250" localSheetId="8" hidden="1">'LWVCEF-Stmt of Fin. Pos. by mth'!$F$53</definedName>
    <definedName name="QB_ROW_213250" localSheetId="2" hidden="1">'LWVC-Stmt of Act. by Class'!#REF!</definedName>
    <definedName name="QB_ROW_213250" localSheetId="3" hidden="1">'LWVC-Stmt of Activities by Mth'!$F$6</definedName>
    <definedName name="QB_ROW_21331" localSheetId="9" hidden="1">'FASB117 '!$D$61</definedName>
    <definedName name="QB_ROW_21331" localSheetId="6" hidden="1">'LWVCEF-Stmt of Activ. by Class'!$D$46</definedName>
    <definedName name="QB_ROW_21331" localSheetId="7" hidden="1">'LWVCEF-Stmt. of Act. by Month'!$D$45</definedName>
    <definedName name="QB_ROW_21331" localSheetId="2" hidden="1">'LWVC-Stmt of Act. by Class'!#REF!</definedName>
    <definedName name="QB_ROW_21331" localSheetId="3" hidden="1">'LWVC-Stmt of Activities by Mth'!$D$55</definedName>
    <definedName name="QB_ROW_214340" localSheetId="2" hidden="1">'LWVC-Stmt of Act. by Class'!#REF!</definedName>
    <definedName name="QB_ROW_214340" localSheetId="3" hidden="1">'LWVC-Stmt of Activities by Mth'!$E$38</definedName>
    <definedName name="QB_ROW_218250" localSheetId="2" hidden="1">'LWVC-Stmt of Act. by Class'!#REF!</definedName>
    <definedName name="QB_ROW_218250" localSheetId="3" hidden="1">'LWVC-Stmt of Activities by Mth'!$F$10</definedName>
    <definedName name="QB_ROW_219250" localSheetId="8" hidden="1">'LWVCEF-Stmt of Fin. Pos. by mth'!$F$54</definedName>
    <definedName name="QB_ROW_22011" localSheetId="7" hidden="1">'LWVCEF-Stmt. of Act. by Month'!#REF!</definedName>
    <definedName name="QB_ROW_22011" localSheetId="2" hidden="1">'LWVC-Stmt of Act. by Class'!#REF!</definedName>
    <definedName name="QB_ROW_220250" localSheetId="8" hidden="1">'LWVCEF-Stmt of Fin. Pos. by mth'!$F$55</definedName>
    <definedName name="QB_ROW_22040" localSheetId="9" hidden="1">'FASB117 '!$E$4</definedName>
    <definedName name="QB_ROW_22040" localSheetId="6" hidden="1">'LWVCEF-Stmt of Activ. by Class'!$E$6</definedName>
    <definedName name="QB_ROW_22040" localSheetId="7" hidden="1">'LWVCEF-Stmt. of Act. by Month'!$E$4</definedName>
    <definedName name="QB_ROW_221250" localSheetId="8" hidden="1">'LWVCEF-Stmt of Fin. Pos. by mth'!$F$56</definedName>
    <definedName name="QB_ROW_222250" localSheetId="8" hidden="1">'LWVCEF-Stmt of Fin. Pos. by mth'!$F$57</definedName>
    <definedName name="QB_ROW_22311" localSheetId="7" hidden="1">'LWVCEF-Stmt. of Act. by Month'!#REF!</definedName>
    <definedName name="QB_ROW_22311" localSheetId="2" hidden="1">'LWVC-Stmt of Act. by Class'!#REF!</definedName>
    <definedName name="QB_ROW_22311" localSheetId="3" hidden="1">'LWVC-Stmt of Activities by Mth'!#REF!</definedName>
    <definedName name="QB_ROW_22340" localSheetId="9" hidden="1">'FASB117 '!$E$19</definedName>
    <definedName name="QB_ROW_22340" localSheetId="6" hidden="1">'LWVCEF-Stmt of Activ. by Class'!$E$15</definedName>
    <definedName name="QB_ROW_22340" localSheetId="7" hidden="1">'LWVCEF-Stmt. of Act. by Month'!$E$15</definedName>
    <definedName name="QB_ROW_224250" localSheetId="8" hidden="1">'LWVCEF-Stmt of Fin. Pos. by mth'!$F$58</definedName>
    <definedName name="QB_ROW_226250" localSheetId="8" hidden="1">'LWVCEF-Stmt of Fin. Pos. by mth'!$F$59</definedName>
    <definedName name="QB_ROW_226250" localSheetId="2" hidden="1">'LWVC-Stmt of Act. by Class'!#REF!</definedName>
    <definedName name="QB_ROW_226250" localSheetId="3" hidden="1">'LWVC-Stmt of Activities by Mth'!$F$5</definedName>
    <definedName name="QB_ROW_227050" localSheetId="8" hidden="1">'LWVCEF-Stmt of Fin. Pos. by mth'!$F$60</definedName>
    <definedName name="QB_ROW_227260" localSheetId="8" hidden="1">'LWVCEF-Stmt of Fin. Pos. by mth'!$G$62</definedName>
    <definedName name="QB_ROW_227350" localSheetId="8" hidden="1">'LWVCEF-Stmt of Fin. Pos. by mth'!$F$63</definedName>
    <definedName name="QB_ROW_228250" localSheetId="8" hidden="1">'LWVCEF-Stmt of Fin. Pos. by mth'!$F$64</definedName>
    <definedName name="QB_ROW_229230" localSheetId="4" hidden="1">'LWVC-Stmt of Fin. Postn. by Mth'!$D$21</definedName>
    <definedName name="QB_ROW_229250" localSheetId="8" hidden="1">'LWVCEF-Stmt of Fin. Pos. by mth'!$F$65</definedName>
    <definedName name="QB_ROW_2321" localSheetId="8" hidden="1">'LWVCEF-Stmt of Fin. Pos. by mth'!$C$11</definedName>
    <definedName name="QB_ROW_2321" localSheetId="4" hidden="1">'LWVC-Stmt of Fin. Postn. by Mth'!$C$9</definedName>
    <definedName name="QB_ROW_23250" localSheetId="9" hidden="1">'FASB117 '!$F$11</definedName>
    <definedName name="QB_ROW_23250" localSheetId="6" hidden="1">'LWVCEF-Stmt of Activ. by Class'!$F$11</definedName>
    <definedName name="QB_ROW_23250" localSheetId="7" hidden="1">'LWVCEF-Stmt. of Act. by Month'!$F$10</definedName>
    <definedName name="QB_ROW_23321" localSheetId="7" hidden="1">'LWVCEF-Stmt. of Act. by Month'!#REF!</definedName>
    <definedName name="QB_ROW_235250" localSheetId="8" hidden="1">'LWVCEF-Stmt of Fin. Pos. by mth'!$F$66</definedName>
    <definedName name="QB_ROW_238240" localSheetId="2" hidden="1">'LWVC-Stmt of Act. by Class'!#REF!</definedName>
    <definedName name="QB_ROW_238350" localSheetId="8" hidden="1">'LWVCEF-Stmt of Fin. Pos. by mth'!$F$67</definedName>
    <definedName name="QB_ROW_239350" localSheetId="8" hidden="1">'LWVCEF-Stmt of Fin. Pos. by mth'!$F$68</definedName>
    <definedName name="QB_ROW_24021" localSheetId="2" hidden="1">'LWVC-Stmt of Act. by Class'!#REF!</definedName>
    <definedName name="QB_ROW_240240" localSheetId="4" hidden="1">'LWVC-Stmt of Fin. Postn. by Mth'!$E$6</definedName>
    <definedName name="QB_ROW_24321" localSheetId="2" hidden="1">'LWVC-Stmt of Act. by Class'!#REF!</definedName>
    <definedName name="QB_ROW_244240" localSheetId="4" hidden="1">'LWVC-Stmt of Fin. Postn. by Mth'!$E$62</definedName>
    <definedName name="QB_ROW_245250" localSheetId="8" hidden="1">'LWVCEF-Stmt of Fin. Pos. by mth'!$F$69</definedName>
    <definedName name="QB_ROW_246350" localSheetId="8" hidden="1">'LWVCEF-Stmt of Fin. Pos. by mth'!$F$70</definedName>
    <definedName name="QB_ROW_247230" localSheetId="4" hidden="1">'LWVC-Stmt of Fin. Postn. by Mth'!$D$22</definedName>
    <definedName name="QB_ROW_247350" localSheetId="8" hidden="1">'LWVCEF-Stmt of Fin. Pos. by mth'!$F$71</definedName>
    <definedName name="QB_ROW_248050" localSheetId="4" hidden="1">'LWVC-Stmt of Fin. Postn. by Mth'!$F$42</definedName>
    <definedName name="QB_ROW_248350" localSheetId="4" hidden="1">'LWVC-Stmt of Fin. Postn. by Mth'!$F$46</definedName>
    <definedName name="QB_ROW_250250" localSheetId="8" hidden="1">'LWVCEF-Stmt of Fin. Pos. by mth'!$F$72</definedName>
    <definedName name="QB_ROW_252350" localSheetId="8" hidden="1">'LWVCEF-Stmt of Fin. Pos. by mth'!$F$73</definedName>
    <definedName name="QB_ROW_25250" localSheetId="9" hidden="1">'FASB117 '!$F$13</definedName>
    <definedName name="QB_ROW_25250" localSheetId="6" hidden="1">'LWVCEF-Stmt of Activ. by Class'!$F$13</definedName>
    <definedName name="QB_ROW_25250" localSheetId="7" hidden="1">'LWVCEF-Stmt. of Act. by Month'!$F$12</definedName>
    <definedName name="QB_ROW_253230" localSheetId="2" hidden="1">'LWVC-Stmt of Act. by Class'!#REF!</definedName>
    <definedName name="QB_ROW_254230" localSheetId="4" hidden="1">'LWVC-Stmt of Fin. Postn. by Mth'!$D$66</definedName>
    <definedName name="QB_ROW_256220" localSheetId="4" hidden="1">'LWVC-Stmt of Fin. Postn. by Mth'!$C$26</definedName>
    <definedName name="QB_ROW_256350" localSheetId="8" hidden="1">'LWVCEF-Stmt of Fin. Pos. by mth'!$F$74</definedName>
    <definedName name="QB_ROW_257240" localSheetId="2" hidden="1">'LWVC-Stmt of Act. by Class'!#REF!</definedName>
    <definedName name="QB_ROW_257240" localSheetId="3" hidden="1">'LWVC-Stmt of Activities by Mth'!$E$31</definedName>
    <definedName name="QB_ROW_257250" localSheetId="8" hidden="1">'LWVCEF-Stmt of Fin. Pos. by mth'!$F$75</definedName>
    <definedName name="QB_ROW_260230" localSheetId="4" hidden="1">'LWVC-Stmt of Fin. Postn. by Mth'!$D$15</definedName>
    <definedName name="QB_ROW_261250" localSheetId="8" hidden="1">'LWVCEF-Stmt of Fin. Pos. by mth'!$F$76</definedName>
    <definedName name="QB_ROW_264250" localSheetId="8" hidden="1">'LWVCEF-Stmt of Fin. Pos. by mth'!$F$77</definedName>
    <definedName name="QB_ROW_265260" localSheetId="4" hidden="1">'LWVC-Stmt of Fin. Postn. by Mth'!$G$43</definedName>
    <definedName name="QB_ROW_266240" localSheetId="4" hidden="1">'LWVC-Stmt of Fin. Postn. by Mth'!$E$7</definedName>
    <definedName name="QB_ROW_267260" localSheetId="4" hidden="1">'LWVC-Stmt of Fin. Postn. by Mth'!$G$44</definedName>
    <definedName name="QB_ROW_268340" localSheetId="2" hidden="1">'LWVC-Stmt of Act. by Class'!#REF!</definedName>
    <definedName name="QB_ROW_268340" localSheetId="3" hidden="1">'LWVC-Stmt of Activities by Mth'!$E$33</definedName>
    <definedName name="QB_ROW_27050" localSheetId="2" hidden="1">'LWVC-Stmt of Act. by Class'!#REF!</definedName>
    <definedName name="QB_ROW_27050" localSheetId="3" hidden="1">'LWVC-Stmt of Activities by Mth'!$F$24</definedName>
    <definedName name="QB_ROW_271240" localSheetId="8" hidden="1">'LWVCEF-Stmt of Fin. Pos. by mth'!$E$36</definedName>
    <definedName name="QB_ROW_27260" localSheetId="3" hidden="1">'LWVC-Stmt of Activities by Mth'!$G$28</definedName>
    <definedName name="QB_ROW_27350" localSheetId="2" hidden="1">'LWVC-Stmt of Act. by Class'!#REF!</definedName>
    <definedName name="QB_ROW_27350" localSheetId="3" hidden="1">'LWVC-Stmt of Activities by Mth'!$F$29</definedName>
    <definedName name="QB_ROW_283240" localSheetId="4" hidden="1">'LWVC-Stmt of Fin. Postn. by Mth'!$E$18</definedName>
    <definedName name="QB_ROW_284240" localSheetId="2" hidden="1">'LWVC-Stmt of Act. by Class'!#REF!</definedName>
    <definedName name="QB_ROW_284240" localSheetId="3" hidden="1">'LWVC-Stmt of Activities by Mth'!$E$40</definedName>
    <definedName name="QB_ROW_287250" localSheetId="2" hidden="1">'LWVC-Stmt of Act. by Class'!#REF!</definedName>
    <definedName name="QB_ROW_287250" localSheetId="3" hidden="1">'LWVC-Stmt of Activities by Mth'!$F$11</definedName>
    <definedName name="QB_ROW_289260" localSheetId="2" hidden="1">'LWVC-Stmt of Act. by Class'!#REF!</definedName>
    <definedName name="QB_ROW_289260" localSheetId="3" hidden="1">'LWVC-Stmt of Activities by Mth'!$G$25</definedName>
    <definedName name="QB_ROW_291230" localSheetId="8" hidden="1">'LWVCEF-Stmt of Fin. Pos. by mth'!$D$92</definedName>
    <definedName name="QB_ROW_291260" localSheetId="4" hidden="1">'LWVC-Stmt of Fin. Postn. by Mth'!$G$45</definedName>
    <definedName name="QB_ROW_294250" localSheetId="2" hidden="1">'LWVC-Stmt of Act. by Class'!#REF!</definedName>
    <definedName name="QB_ROW_294250" localSheetId="3" hidden="1">'LWVC-Stmt of Activities by Mth'!$F$15</definedName>
    <definedName name="QB_ROW_295240" localSheetId="4" hidden="1">'LWVC-Stmt of Fin. Postn. by Mth'!$E$59</definedName>
    <definedName name="QB_ROW_297020" localSheetId="4" hidden="1">'LWVC-Stmt of Fin. Postn. by Mth'!$C$71</definedName>
    <definedName name="QB_ROW_297320" localSheetId="4" hidden="1">'LWVC-Stmt of Fin. Postn. by Mth'!$C$76</definedName>
    <definedName name="QB_ROW_298230" localSheetId="4" hidden="1">'LWVC-Stmt of Fin. Postn. by Mth'!$D$72</definedName>
    <definedName name="QB_ROW_299230" localSheetId="4" hidden="1">'LWVC-Stmt of Fin. Postn. by Mth'!$D$73</definedName>
    <definedName name="QB_ROW_300260" localSheetId="2" hidden="1">'LWVC-Stmt of Act. by Class'!#REF!</definedName>
    <definedName name="QB_ROW_300260" localSheetId="3" hidden="1">'LWVC-Stmt of Activities by Mth'!$G$26</definedName>
    <definedName name="QB_ROW_301" localSheetId="8" hidden="1">'LWVCEF-Stmt of Fin. Pos. by mth'!$A$31</definedName>
    <definedName name="QB_ROW_301" localSheetId="4" hidden="1">'LWVC-Stmt of Fin. Postn. by Mth'!$A$33</definedName>
    <definedName name="QB_ROW_301260" localSheetId="2" hidden="1">'LWVC-Stmt of Act. by Class'!#REF!</definedName>
    <definedName name="QB_ROW_301260" localSheetId="3" hidden="1">'LWVC-Stmt of Activities by Mth'!$G$27</definedName>
    <definedName name="QB_ROW_3021" localSheetId="8" hidden="1">'LWVCEF-Stmt of Fin. Pos. by mth'!$C$12</definedName>
    <definedName name="QB_ROW_3021" localSheetId="4" hidden="1">'LWVC-Stmt of Fin. Postn. by Mth'!$C$10</definedName>
    <definedName name="QB_ROW_302230" localSheetId="4" hidden="1">'LWVC-Stmt of Fin. Postn. by Mth'!$D$74</definedName>
    <definedName name="QB_ROW_303230" localSheetId="4" hidden="1">'LWVC-Stmt of Fin. Postn. by Mth'!$D$75</definedName>
    <definedName name="QB_ROW_3040" localSheetId="4" hidden="1">'LWVC-Stmt of Fin. Postn. by Mth'!$E$55</definedName>
    <definedName name="QB_ROW_304240" localSheetId="2" hidden="1">'LWVC-Stmt of Act. by Class'!#REF!</definedName>
    <definedName name="QB_ROW_304240" localSheetId="3" hidden="1">'LWVC-Stmt of Activities by Mth'!$E$53</definedName>
    <definedName name="QB_ROW_305250" localSheetId="4" hidden="1">'LWVC-Stmt of Fin. Postn. by Mth'!$F$56</definedName>
    <definedName name="QB_ROW_306040" localSheetId="4" hidden="1">'LWVC-Stmt of Fin. Postn. by Mth'!$E$51</definedName>
    <definedName name="QB_ROW_306340" localSheetId="4" hidden="1">'LWVC-Stmt of Fin. Postn. by Mth'!$E$53</definedName>
    <definedName name="QB_ROW_307250" localSheetId="4" hidden="1">'LWVC-Stmt of Fin. Postn. by Mth'!$F$52</definedName>
    <definedName name="QB_ROW_308020" localSheetId="4" hidden="1">'LWVC-Stmt of Fin. Postn. by Mth'!$C$77</definedName>
    <definedName name="QB_ROW_308320" localSheetId="4" hidden="1">'LWVC-Stmt of Fin. Postn. by Mth'!$C$79</definedName>
    <definedName name="QB_ROW_309230" localSheetId="4" hidden="1">'LWVC-Stmt of Fin. Postn. by Mth'!$D$78</definedName>
    <definedName name="QB_ROW_310250" localSheetId="3" hidden="1">'LWVC-Stmt of Activities by Mth'!$F$14</definedName>
    <definedName name="QB_ROW_31250" localSheetId="9" hidden="1">'FASB117 '!$F$21</definedName>
    <definedName name="QB_ROW_31250" localSheetId="6" hidden="1">'LWVCEF-Stmt of Activ. by Class'!$F$17</definedName>
    <definedName name="QB_ROW_31250" localSheetId="7" hidden="1">'LWVCEF-Stmt. of Act. by Month'!$F$17</definedName>
    <definedName name="QB_ROW_313240" localSheetId="3" hidden="1">'LWVC-Stmt of Activities by Mth'!$E$54</definedName>
    <definedName name="QB_ROW_313250" localSheetId="9" hidden="1">'FASB117 '!$F$23</definedName>
    <definedName name="QB_ROW_313250" localSheetId="7" hidden="1">'LWVCEF-Stmt. of Act. by Month'!$F$19</definedName>
    <definedName name="QB_ROW_32250" localSheetId="9" hidden="1">'FASB117 '!$F$22</definedName>
    <definedName name="QB_ROW_32250" localSheetId="6" hidden="1">'LWVCEF-Stmt of Activ. by Class'!$F$18</definedName>
    <definedName name="QB_ROW_32250" localSheetId="7" hidden="1">'LWVCEF-Stmt. of Act. by Month'!$F$18</definedName>
    <definedName name="QB_ROW_3250" localSheetId="4" hidden="1">'LWVC-Stmt of Fin. Postn. by Mth'!$F$57</definedName>
    <definedName name="QB_ROW_3321" localSheetId="8" hidden="1">'LWVCEF-Stmt of Fin. Pos. by mth'!$C$14</definedName>
    <definedName name="QB_ROW_3321" localSheetId="4" hidden="1">'LWVC-Stmt of Fin. Postn. by Mth'!$C$12</definedName>
    <definedName name="QB_ROW_33250" localSheetId="2" hidden="1">'LWVC-Stmt of Act. by Class'!#REF!</definedName>
    <definedName name="QB_ROW_33250" localSheetId="3" hidden="1">'LWVC-Stmt of Activities by Mth'!$F$12</definedName>
    <definedName name="QB_ROW_3340" localSheetId="4" hidden="1">'LWVC-Stmt of Fin. Postn. by Mth'!$E$58</definedName>
    <definedName name="QB_ROW_369230" localSheetId="8" hidden="1">'LWVCEF-Stmt of Fin. Pos. by mth'!$D$13</definedName>
    <definedName name="QB_ROW_378340" localSheetId="9" hidden="1">'FASB117 '!$E$55</definedName>
    <definedName name="QB_ROW_378340" localSheetId="6" hidden="1">'LWVCEF-Stmt of Activ. by Class'!$E$40</definedName>
    <definedName name="QB_ROW_378340" localSheetId="7" hidden="1">'LWVCEF-Stmt. of Act. by Month'!$E$41</definedName>
    <definedName name="QB_ROW_379340" localSheetId="9" hidden="1">'FASB117 '!$E$59</definedName>
    <definedName name="QB_ROW_379340" localSheetId="6" hidden="1">'LWVCEF-Stmt of Activ. by Class'!$E$44</definedName>
    <definedName name="QB_ROW_379340" localSheetId="7" hidden="1">'LWVCEF-Stmt. of Act. by Month'!$E$44</definedName>
    <definedName name="QB_ROW_38250" localSheetId="2" hidden="1">'LWVC-Stmt of Act. by Class'!#REF!</definedName>
    <definedName name="QB_ROW_38250" localSheetId="3" hidden="1">'LWVC-Stmt of Activities by Mth'!$F$18</definedName>
    <definedName name="QB_ROW_386240" localSheetId="9" hidden="1">'FASB117 '!$E$36</definedName>
    <definedName name="QB_ROW_386240" localSheetId="6" hidden="1">'LWVCEF-Stmt of Activ. by Class'!#REF!</definedName>
    <definedName name="QB_ROW_386240" localSheetId="7" hidden="1">'LWVCEF-Stmt. of Act. by Month'!$E$27</definedName>
    <definedName name="QB_ROW_39250" localSheetId="2" hidden="1">'LWVC-Stmt of Act. by Class'!#REF!</definedName>
    <definedName name="QB_ROW_39250" localSheetId="3" hidden="1">'LWVC-Stmt of Activities by Mth'!$F$19</definedName>
    <definedName name="QB_ROW_395020" localSheetId="8" hidden="1">'LWVCEF-Stmt of Fin. Pos. by mth'!$C$91</definedName>
    <definedName name="QB_ROW_395320" localSheetId="8" hidden="1">'LWVCEF-Stmt of Fin. Pos. by mth'!#REF!</definedName>
    <definedName name="QB_ROW_397340" localSheetId="9" hidden="1">'FASB117 '!$E$56</definedName>
    <definedName name="QB_ROW_397340" localSheetId="6" hidden="1">'LWVCEF-Stmt of Activ. by Class'!$E$41</definedName>
    <definedName name="QB_ROW_397340" localSheetId="7" hidden="1">'LWVCEF-Stmt. of Act. by Month'!$E$42</definedName>
    <definedName name="QB_ROW_401250" localSheetId="9" hidden="1">'FASB117 '!$F$17</definedName>
    <definedName name="QB_ROW_4021" localSheetId="8" hidden="1">'LWVCEF-Stmt of Fin. Pos. by mth'!$C$15</definedName>
    <definedName name="QB_ROW_4021" localSheetId="4" hidden="1">'LWVC-Stmt of Fin. Postn. by Mth'!$C$13</definedName>
    <definedName name="QB_ROW_402340" localSheetId="9" hidden="1">'FASB117 '!$E$43</definedName>
    <definedName name="QB_ROW_402340" localSheetId="6" hidden="1">'LWVCEF-Stmt of Activ. by Class'!$E$29</definedName>
    <definedName name="QB_ROW_402340" localSheetId="7" hidden="1">'LWVCEF-Stmt. of Act. by Month'!$E$31</definedName>
    <definedName name="QB_ROW_406340" localSheetId="9" hidden="1">'FASB117 '!$E$58</definedName>
    <definedName name="QB_ROW_406340" localSheetId="6" hidden="1">'LWVCEF-Stmt of Activ. by Class'!$E$43</definedName>
    <definedName name="QB_ROW_406340" localSheetId="7" hidden="1">'LWVCEF-Stmt. of Act. by Month'!$E$43</definedName>
    <definedName name="QB_ROW_410240" localSheetId="6" hidden="1">'LWVCEF-Stmt of Activ. by Class'!$E$45</definedName>
    <definedName name="QB_ROW_4220" localSheetId="8" hidden="1">'LWVCEF-Stmt of Fin. Pos. by mth'!$C$86</definedName>
    <definedName name="QB_ROW_424220" localSheetId="8" hidden="1">'LWVCEF-Stmt of Fin. Pos. by mth'!$C$28</definedName>
    <definedName name="QB_ROW_425220" localSheetId="8" hidden="1">'LWVCEF-Stmt of Fin. Pos. by mth'!$C$29</definedName>
    <definedName name="QB_ROW_427240" localSheetId="9" hidden="1">'FASB117 '!$E$60</definedName>
    <definedName name="QB_ROW_43040" localSheetId="9" hidden="1">'FASB117 '!$E$29</definedName>
    <definedName name="QB_ROW_4321" localSheetId="8" hidden="1">'LWVCEF-Stmt of Fin. Pos. by mth'!$C$24</definedName>
    <definedName name="QB_ROW_4321" localSheetId="4" hidden="1">'LWVC-Stmt of Fin. Postn. by Mth'!$C$23</definedName>
    <definedName name="QB_ROW_43240" localSheetId="2" hidden="1">'LWVC-Stmt of Act. by Class'!#REF!</definedName>
    <definedName name="QB_ROW_43240" localSheetId="3" hidden="1">'LWVC-Stmt of Activities by Mth'!$E$32</definedName>
    <definedName name="QB_ROW_43250" localSheetId="9" hidden="1">'FASB117 '!$F$32</definedName>
    <definedName name="QB_ROW_43340" localSheetId="9" hidden="1">'FASB117 '!$E$33</definedName>
    <definedName name="QB_ROW_43340" localSheetId="7" hidden="1">'LWVCEF-Stmt. of Act. by Month'!$E$24</definedName>
    <definedName name="QB_ROW_434240" localSheetId="9" hidden="1">'FASB117 '!$E$48</definedName>
    <definedName name="QB_ROW_434240" localSheetId="6" hidden="1">'LWVCEF-Stmt of Activ. by Class'!$E$33</definedName>
    <definedName name="QB_ROW_434240" localSheetId="7" hidden="1">'LWVCEF-Stmt. of Act. by Month'!$E$34</definedName>
    <definedName name="QB_ROW_439220" localSheetId="8" hidden="1">'LWVCEF-Stmt of Fin. Pos. by mth'!$C$27</definedName>
    <definedName name="QB_ROW_440230" localSheetId="8" hidden="1">'LWVCEF-Stmt of Fin. Pos. by mth'!$D$23</definedName>
    <definedName name="QB_ROW_44240" localSheetId="9" hidden="1">'FASB117 '!$E$28</definedName>
    <definedName name="QB_ROW_44240" localSheetId="6" hidden="1">'LWVCEF-Stmt of Activ. by Class'!$E$23</definedName>
    <definedName name="QB_ROW_44240" localSheetId="7" hidden="1">'LWVCEF-Stmt. of Act. by Month'!$E$23</definedName>
    <definedName name="QB_ROW_445030" localSheetId="8" hidden="1">'LWVCEF-Stmt of Fin. Pos. by mth'!$D$5</definedName>
    <definedName name="QB_ROW_445330" localSheetId="8" hidden="1">'LWVCEF-Stmt of Fin. Pos. by mth'!$D$7</definedName>
    <definedName name="QB_ROW_446240" localSheetId="8" hidden="1">'LWVCEF-Stmt of Fin. Pos. by mth'!$E$6</definedName>
    <definedName name="QB_ROW_45250" localSheetId="9" hidden="1">'FASB117 '!$F$31</definedName>
    <definedName name="QB_ROW_453240" localSheetId="8" hidden="1">'LWVCEF-Stmt of Fin. Pos. by mth'!$E$81</definedName>
    <definedName name="QB_ROW_455230" localSheetId="8" hidden="1">'LWVCEF-Stmt of Fin. Pos. by mth'!$D$8</definedName>
    <definedName name="QB_ROW_457240" localSheetId="8" hidden="1">'LWVCEF-Stmt of Fin. Pos. by mth'!#REF!</definedName>
    <definedName name="QB_ROW_465230" localSheetId="8" hidden="1">'LWVCEF-Stmt of Fin. Pos. by mth'!$D$9</definedName>
    <definedName name="QB_ROW_474230" localSheetId="8" hidden="1">'LWVCEF-Stmt of Fin. Pos. by mth'!$D$16</definedName>
    <definedName name="QB_ROW_476230" localSheetId="8" hidden="1">'LWVCEF-Stmt of Fin. Pos. by mth'!$D$10</definedName>
    <definedName name="QB_ROW_489250" localSheetId="8" hidden="1">'LWVCEF-Stmt of Fin. Pos. by mth'!$F$40</definedName>
    <definedName name="QB_ROW_491240" localSheetId="9" hidden="1">'FASB117 '!$E$27</definedName>
    <definedName name="QB_ROW_491240" localSheetId="6" hidden="1">'LWVCEF-Stmt of Activ. by Class'!$E$22</definedName>
    <definedName name="QB_ROW_491240" localSheetId="7" hidden="1">'LWVCEF-Stmt. of Act. by Month'!$E$22</definedName>
    <definedName name="QB_ROW_494240" localSheetId="9" hidden="1">'FASB117 '!$E$47</definedName>
    <definedName name="QB_ROW_494240" localSheetId="6" hidden="1">'LWVCEF-Stmt of Activ. by Class'!$E$32</definedName>
    <definedName name="QB_ROW_494240" localSheetId="7" hidden="1">'LWVCEF-Stmt. of Act. by Month'!$E$33</definedName>
    <definedName name="QB_ROW_496230" localSheetId="8" hidden="1">'LWVCEF-Stmt of Fin. Pos. by mth'!$D$22</definedName>
    <definedName name="QB_ROW_498030" localSheetId="8" hidden="1">'LWVCEF-Stmt of Fin. Pos. by mth'!$D$17</definedName>
    <definedName name="QB_ROW_498330" localSheetId="8" hidden="1">'LWVCEF-Stmt of Fin. Pos. by mth'!$D$20</definedName>
    <definedName name="QB_ROW_5011" localSheetId="8" hidden="1">'LWVCEF-Stmt of Fin. Pos. by mth'!$B$26</definedName>
    <definedName name="QB_ROW_5011" localSheetId="4" hidden="1">'LWVC-Stmt of Fin. Postn. by Mth'!$B$25</definedName>
    <definedName name="QB_ROW_501250" localSheetId="9" hidden="1">'FASB117 '!$F$9</definedName>
    <definedName name="QB_ROW_501250" localSheetId="6" hidden="1">'LWVCEF-Stmt of Activ. by Class'!$F$10</definedName>
    <definedName name="QB_ROW_501250" localSheetId="7" hidden="1">'LWVCEF-Stmt. of Act. by Month'!$F$8</definedName>
    <definedName name="QB_ROW_502250" localSheetId="9" hidden="1">'FASB117 '!$F$12</definedName>
    <definedName name="QB_ROW_502250" localSheetId="6" hidden="1">'LWVCEF-Stmt of Activ. by Class'!$F$12</definedName>
    <definedName name="QB_ROW_502250" localSheetId="7" hidden="1">'LWVCEF-Stmt. of Act. by Month'!$F$11</definedName>
    <definedName name="QB_ROW_5050" localSheetId="9" hidden="1">'FASB117 '!$F$5</definedName>
    <definedName name="QB_ROW_5050" localSheetId="6" hidden="1">'LWVCEF-Stmt of Activ. by Class'!$F$7</definedName>
    <definedName name="QB_ROW_5050" localSheetId="7" hidden="1">'LWVCEF-Stmt. of Act. by Month'!$F$5</definedName>
    <definedName name="QB_ROW_505250" localSheetId="9" hidden="1">'FASB117 '!$F$16</definedName>
    <definedName name="QB_ROW_505250" localSheetId="6" hidden="1">'LWVCEF-Stmt of Activ. by Class'!$F$14</definedName>
    <definedName name="QB_ROW_505250" localSheetId="7" hidden="1">'LWVCEF-Stmt. of Act. by Month'!$F$13</definedName>
    <definedName name="QB_ROW_507260" localSheetId="9" hidden="1">'FASB117 '!$G$6</definedName>
    <definedName name="QB_ROW_507260" localSheetId="6" hidden="1">'LWVCEF-Stmt of Activ. by Class'!$G$8</definedName>
    <definedName name="QB_ROW_507260" localSheetId="7" hidden="1">'LWVCEF-Stmt. of Act. by Month'!$G$6</definedName>
    <definedName name="QB_ROW_508240" localSheetId="9" hidden="1">'FASB117 '!$E$44</definedName>
    <definedName name="QB_ROW_508240" localSheetId="6" hidden="1">'LWVCEF-Stmt of Activ. by Class'!$E$30</definedName>
    <definedName name="QB_ROW_51240" localSheetId="2" hidden="1">'LWVC-Stmt of Act. by Class'!#REF!</definedName>
    <definedName name="QB_ROW_51240" localSheetId="3" hidden="1">'LWVC-Stmt of Activities by Mth'!$E$50</definedName>
    <definedName name="QB_ROW_513020" localSheetId="8" hidden="1">'LWVCEF-Stmt of Fin. Pos. by mth'!$C$87</definedName>
    <definedName name="QB_ROW_513320" localSheetId="8" hidden="1">'LWVCEF-Stmt of Fin. Pos. by mth'!$C$90</definedName>
    <definedName name="QB_ROW_525030" localSheetId="8" hidden="1">'LWVCEF-Stmt of Fin. Pos. by mth'!$D$93</definedName>
    <definedName name="QB_ROW_525330" localSheetId="8" hidden="1">'LWVCEF-Stmt of Fin. Pos. by mth'!$D$95</definedName>
    <definedName name="QB_ROW_5260" localSheetId="9" hidden="1">'FASB117 '!$G$7</definedName>
    <definedName name="QB_ROW_529250" localSheetId="7" hidden="1">'LWVCEF-Stmt. of Act. by Month'!$F$14</definedName>
    <definedName name="QB_ROW_5311" localSheetId="8" hidden="1">'LWVCEF-Stmt of Fin. Pos. by mth'!$B$30</definedName>
    <definedName name="QB_ROW_5311" localSheetId="4" hidden="1">'LWVC-Stmt of Fin. Postn. by Mth'!$B$29</definedName>
    <definedName name="QB_ROW_531250" localSheetId="7" hidden="1">'LWVCEF-Stmt. of Act. by Month'!$F$9</definedName>
    <definedName name="QB_ROW_532030" localSheetId="8" hidden="1">'LWVCEF-Stmt of Fin. Pos. by mth'!$D$96</definedName>
    <definedName name="QB_ROW_532330" localSheetId="8" hidden="1">'LWVCEF-Stmt of Fin. Pos. by mth'!$D$100</definedName>
    <definedName name="QB_ROW_533240" localSheetId="8" hidden="1">'LWVCEF-Stmt of Fin. Pos. by mth'!$E$97</definedName>
    <definedName name="QB_ROW_53340" localSheetId="2" hidden="1">'LWVC-Stmt of Act. by Class'!#REF!</definedName>
    <definedName name="QB_ROW_53340" localSheetId="3" hidden="1">'LWVC-Stmt of Activities by Mth'!$E$49</definedName>
    <definedName name="QB_ROW_534240" localSheetId="8" hidden="1">'LWVCEF-Stmt of Fin. Pos. by mth'!$E$98</definedName>
    <definedName name="QB_ROW_5350" localSheetId="9" hidden="1">'FASB117 '!$F$8</definedName>
    <definedName name="QB_ROW_5350" localSheetId="6" hidden="1">'LWVCEF-Stmt of Activ. by Class'!$F$9</definedName>
    <definedName name="QB_ROW_5350" localSheetId="7" hidden="1">'LWVCEF-Stmt. of Act. by Month'!$F$7</definedName>
    <definedName name="QB_ROW_535240" localSheetId="8" hidden="1">'LWVCEF-Stmt of Fin. Pos. by mth'!$E$18</definedName>
    <definedName name="QB_ROW_537230" localSheetId="8" hidden="1">'LWVCEF-Stmt of Fin. Pos. by mth'!$D$89</definedName>
    <definedName name="QB_ROW_538230" localSheetId="8" hidden="1">'LWVCEF-Stmt of Fin. Pos. by mth'!$D$88</definedName>
    <definedName name="QB_ROW_539240" localSheetId="8" hidden="1">'LWVCEF-Stmt of Fin. Pos. by mth'!$E$19</definedName>
    <definedName name="QB_ROW_540240" localSheetId="8" hidden="1">'LWVCEF-Stmt of Fin. Pos. by mth'!$E$94</definedName>
    <definedName name="QB_ROW_541230" localSheetId="8" hidden="1">'LWVCEF-Stmt of Fin. Pos. by mth'!$D$101</definedName>
    <definedName name="QB_ROW_542240" localSheetId="8" hidden="1">'LWVCEF-Stmt of Fin. Pos. by mth'!$E$99</definedName>
    <definedName name="QB_ROW_544260" localSheetId="8" hidden="1">'LWVCEF-Stmt of Fin. Pos. by mth'!$G$61</definedName>
    <definedName name="QB_ROW_545250" localSheetId="8" hidden="1">'LWVCEF-Stmt of Fin. Pos. by mth'!$F$78</definedName>
    <definedName name="QB_ROW_546250" localSheetId="8" hidden="1">'LWVCEF-Stmt of Fin. Pos. by mth'!$F$44</definedName>
    <definedName name="QB_ROW_6011" localSheetId="4" hidden="1">'LWVC-Stmt of Fin. Postn. by Mth'!$B$30</definedName>
    <definedName name="QB_ROW_6040" localSheetId="9" hidden="1">'FASB117 '!$E$20</definedName>
    <definedName name="QB_ROW_6040" localSheetId="6" hidden="1">'LWVCEF-Stmt of Activ. by Class'!$E$16</definedName>
    <definedName name="QB_ROW_6040" localSheetId="7" hidden="1">'LWVCEF-Stmt. of Act. by Month'!$E$16</definedName>
    <definedName name="QB_ROW_62340" localSheetId="2" hidden="1">'LWVC-Stmt of Act. by Class'!#REF!</definedName>
    <definedName name="QB_ROW_63040" localSheetId="8" hidden="1">'LWVCEF-Stmt of Fin. Pos. by mth'!$E$39</definedName>
    <definedName name="QB_ROW_6311" localSheetId="4" hidden="1">'LWVC-Stmt of Fin. Postn. by Mth'!$B$32</definedName>
    <definedName name="QB_ROW_63250" localSheetId="8" hidden="1">'LWVCEF-Stmt of Fin. Pos. by mth'!$F$41</definedName>
    <definedName name="QB_ROW_63340" localSheetId="8" hidden="1">'LWVCEF-Stmt of Fin. Pos. by mth'!$E$42</definedName>
    <definedName name="QB_ROW_6340" localSheetId="9" hidden="1">'FASB117 '!$E$26</definedName>
    <definedName name="QB_ROW_6340" localSheetId="6" hidden="1">'LWVCEF-Stmt of Activ. by Class'!$E$21</definedName>
    <definedName name="QB_ROW_6340" localSheetId="7" hidden="1">'LWVCEF-Stmt. of Act. by Month'!$E$21</definedName>
    <definedName name="QB_ROW_64040" localSheetId="8" hidden="1">'LWVCEF-Stmt of Fin. Pos. by mth'!$E$43</definedName>
    <definedName name="QB_ROW_64340" localSheetId="8" hidden="1">'LWVCEF-Stmt of Fin. Pos. by mth'!$E$79</definedName>
    <definedName name="QB_ROW_68240" localSheetId="9" hidden="1">'FASB117 '!$E$57</definedName>
    <definedName name="QB_ROW_68240" localSheetId="6" hidden="1">'LWVCEF-Stmt of Activ. by Class'!$E$42</definedName>
    <definedName name="QB_ROW_7001" localSheetId="8" hidden="1">'LWVCEF-Stmt of Fin. Pos. by mth'!$A$32</definedName>
    <definedName name="QB_ROW_7001" localSheetId="4" hidden="1">'LWVC-Stmt of Fin. Postn. by Mth'!$A$34</definedName>
    <definedName name="QB_ROW_7030" localSheetId="4" hidden="1">'LWVC-Stmt of Fin. Postn. by Mth'!$D$5</definedName>
    <definedName name="QB_ROW_7301" localSheetId="8" hidden="1">'LWVCEF-Stmt of Fin. Pos. by mth'!#REF!</definedName>
    <definedName name="QB_ROW_7301" localSheetId="4" hidden="1">'LWVC-Stmt of Fin. Postn. by Mth'!$A$82</definedName>
    <definedName name="QB_ROW_7330" localSheetId="4" hidden="1">'LWVC-Stmt of Fin. Postn. by Mth'!$D$8</definedName>
    <definedName name="QB_ROW_8011" localSheetId="8" hidden="1">'LWVCEF-Stmt of Fin. Pos. by mth'!$B$33</definedName>
    <definedName name="QB_ROW_8011" localSheetId="4" hidden="1">'LWVC-Stmt of Fin. Postn. by Mth'!$B$35</definedName>
    <definedName name="QB_ROW_8311" localSheetId="8" hidden="1">'LWVCEF-Stmt of Fin. Pos. by mth'!$B$84</definedName>
    <definedName name="QB_ROW_8311" localSheetId="4" hidden="1">'LWVC-Stmt of Fin. Postn. by Mth'!$B$68</definedName>
    <definedName name="QB_ROW_86321" localSheetId="9" hidden="1">'FASB117 '!#REF!</definedName>
    <definedName name="QB_ROW_86321" localSheetId="6" hidden="1">'LWVCEF-Stmt of Activ. by Class'!$C$27</definedName>
    <definedName name="QB_ROW_86321" localSheetId="7" hidden="1">'LWVCEF-Stmt. of Act. by Month'!$C$29</definedName>
    <definedName name="QB_ROW_86321" localSheetId="2" hidden="1">'LWVC-Stmt of Act. by Class'!#REF!</definedName>
    <definedName name="QB_ROW_86321" localSheetId="3" hidden="1">'LWVC-Stmt of Activities by Mth'!$C$36</definedName>
    <definedName name="QB_ROW_87031" localSheetId="9" hidden="1">'FASB117 '!$D$35</definedName>
    <definedName name="QB_ROW_87031" localSheetId="6" hidden="1">'LWVCEF-Stmt of Activ. by Class'!$D$26</definedName>
    <definedName name="QB_ROW_87031" localSheetId="7" hidden="1">'LWVCEF-Stmt. of Act. by Month'!$D$26</definedName>
    <definedName name="QB_ROW_87031" localSheetId="2" hidden="1">'LWVC-Stmt of Act. by Class'!#REF!</definedName>
    <definedName name="QB_ROW_87331" localSheetId="9" hidden="1">'FASB117 '!$D$37</definedName>
    <definedName name="QB_ROW_87331" localSheetId="6" hidden="1">'LWVCEF-Stmt of Activ. by Class'!#REF!</definedName>
    <definedName name="QB_ROW_87331" localSheetId="7" hidden="1">'LWVCEF-Stmt. of Act. by Month'!$D$28</definedName>
    <definedName name="QB_ROW_87331" localSheetId="2" hidden="1">'LWVC-Stmt of Act. by Class'!#REF!</definedName>
    <definedName name="QB_ROW_87331" localSheetId="3" hidden="1">'LWVC-Stmt of Activities by Mth'!$D$35</definedName>
    <definedName name="QB_ROW_9021" localSheetId="8" hidden="1">'LWVCEF-Stmt of Fin. Pos. by mth'!$C$34</definedName>
    <definedName name="QB_ROW_9021" localSheetId="4" hidden="1">'LWVC-Stmt of Fin. Postn. by Mth'!$C$36</definedName>
    <definedName name="QB_ROW_90250" localSheetId="2" hidden="1">'LWVC-Stmt of Act. by Class'!#REF!</definedName>
    <definedName name="QB_ROW_90250" localSheetId="3" hidden="1">'LWVC-Stmt of Activities by Mth'!$F$20</definedName>
    <definedName name="QB_ROW_9321" localSheetId="8" hidden="1">'LWVCEF-Stmt of Fin. Pos. by mth'!$C$83</definedName>
    <definedName name="QB_ROW_9321" localSheetId="4" hidden="1">'LWVC-Stmt of Fin. Postn. by Mth'!$C$64</definedName>
    <definedName name="QBCANSUPPORTUPDATE" localSheetId="9">TRUE</definedName>
    <definedName name="QBCANSUPPORTUPDATE" localSheetId="6">TRUE</definedName>
    <definedName name="QBCANSUPPORTUPDATE" localSheetId="8">TRUE</definedName>
    <definedName name="QBCANSUPPORTUPDATE" localSheetId="7">TRUE</definedName>
    <definedName name="QBCANSUPPORTUPDATE" localSheetId="2">TRUE</definedName>
    <definedName name="QBCANSUPPORTUPDATE" localSheetId="3">TRUE</definedName>
    <definedName name="QBCANSUPPORTUPDATE" localSheetId="4">TRUE</definedName>
    <definedName name="QBCOMPANYFILENAME" localSheetId="9">"Q:\LWVCEF 2004-2005.QBW"</definedName>
    <definedName name="QBCOMPANYFILENAME" localSheetId="6">"\\Gaston\lwvc\QuickBooks\LWVCEF 2004-2005.QBW"</definedName>
    <definedName name="QBCOMPANYFILENAME" localSheetId="8">"\\Gaston\lwvc\QuickBooks\LWVCEF 2004-2005.QBW"</definedName>
    <definedName name="QBCOMPANYFILENAME" localSheetId="7">"\\Gaston\lwvc\QuickBooks\LWVCEF 2004-2005.QBW"</definedName>
    <definedName name="QBCOMPANYFILENAME" localSheetId="2">"\\Gaston\lwvc\QuickBooks\LWVC2004-2005.QBW"</definedName>
    <definedName name="QBCOMPANYFILENAME" localSheetId="3">"\\Gaston\lwvc\QuickBooks\LWVC2004-2005.QBW"</definedName>
    <definedName name="QBCOMPANYFILENAME" localSheetId="4">"\\Gaston\lwvc\QuickBooks\LWVC2004-2005.QBW"</definedName>
    <definedName name="QBENDDATE" localSheetId="9">20150228</definedName>
    <definedName name="QBENDDATE" localSheetId="6">20190831</definedName>
    <definedName name="QBENDDATE" localSheetId="8">20181130</definedName>
    <definedName name="QBENDDATE" localSheetId="7">20190831</definedName>
    <definedName name="QBENDDATE" localSheetId="2">20180831</definedName>
    <definedName name="QBENDDATE" localSheetId="3">20190131</definedName>
    <definedName name="QBENDDATE" localSheetId="4">20181130</definedName>
    <definedName name="QBHEADERSONSCREEN" localSheetId="9">FALSE</definedName>
    <definedName name="QBHEADERSONSCREEN" localSheetId="6">FALSE</definedName>
    <definedName name="QBHEADERSONSCREEN" localSheetId="8">FALSE</definedName>
    <definedName name="QBHEADERSONSCREEN" localSheetId="7">FALSE</definedName>
    <definedName name="QBHEADERSONSCREEN" localSheetId="2">FALSE</definedName>
    <definedName name="QBHEADERSONSCREEN" localSheetId="3">FALSE</definedName>
    <definedName name="QBHEADERSONSCREEN" localSheetId="4">FALSE</definedName>
    <definedName name="QBMETADATASIZE" localSheetId="9">5802</definedName>
    <definedName name="QBMETADATASIZE" localSheetId="6">5914</definedName>
    <definedName name="QBMETADATASIZE" localSheetId="8">5892</definedName>
    <definedName name="QBMETADATASIZE" localSheetId="7">5914</definedName>
    <definedName name="QBMETADATASIZE" localSheetId="2">5892</definedName>
    <definedName name="QBMETADATASIZE" localSheetId="3">5892</definedName>
    <definedName name="QBMETADATASIZE" localSheetId="4">5892</definedName>
    <definedName name="QBPRESERVECOLOR" localSheetId="9">TRUE</definedName>
    <definedName name="QBPRESERVECOLOR" localSheetId="6">TRUE</definedName>
    <definedName name="QBPRESERVECOLOR" localSheetId="8">TRUE</definedName>
    <definedName name="QBPRESERVECOLOR" localSheetId="7">TRUE</definedName>
    <definedName name="QBPRESERVECOLOR" localSheetId="2">TRUE</definedName>
    <definedName name="QBPRESERVECOLOR" localSheetId="3">TRUE</definedName>
    <definedName name="QBPRESERVECOLOR" localSheetId="4">TRUE</definedName>
    <definedName name="QBPRESERVEFONT" localSheetId="9">TRUE</definedName>
    <definedName name="QBPRESERVEFONT" localSheetId="6">TRUE</definedName>
    <definedName name="QBPRESERVEFONT" localSheetId="8">TRUE</definedName>
    <definedName name="QBPRESERVEFONT" localSheetId="7">TRUE</definedName>
    <definedName name="QBPRESERVEFONT" localSheetId="2">TRUE</definedName>
    <definedName name="QBPRESERVEFONT" localSheetId="3">TRUE</definedName>
    <definedName name="QBPRESERVEFONT" localSheetId="4">TRUE</definedName>
    <definedName name="QBPRESERVEROWHEIGHT" localSheetId="9">TRUE</definedName>
    <definedName name="QBPRESERVEROWHEIGHT" localSheetId="6">TRUE</definedName>
    <definedName name="QBPRESERVEROWHEIGHT" localSheetId="8">TRUE</definedName>
    <definedName name="QBPRESERVEROWHEIGHT" localSheetId="7">TRUE</definedName>
    <definedName name="QBPRESERVEROWHEIGHT" localSheetId="2">TRUE</definedName>
    <definedName name="QBPRESERVEROWHEIGHT" localSheetId="3">TRUE</definedName>
    <definedName name="QBPRESERVEROWHEIGHT" localSheetId="4">TRUE</definedName>
    <definedName name="QBPRESERVESPACE" localSheetId="9">TRUE</definedName>
    <definedName name="QBPRESERVESPACE" localSheetId="6">TRUE</definedName>
    <definedName name="QBPRESERVESPACE" localSheetId="8">TRUE</definedName>
    <definedName name="QBPRESERVESPACE" localSheetId="7">TRUE</definedName>
    <definedName name="QBPRESERVESPACE" localSheetId="2">TRUE</definedName>
    <definedName name="QBPRESERVESPACE" localSheetId="3">TRUE</definedName>
    <definedName name="QBPRESERVESPACE" localSheetId="4">TRUE</definedName>
    <definedName name="QBREPORTCOLAXIS" localSheetId="9">0</definedName>
    <definedName name="QBREPORTCOLAXIS" localSheetId="6">19</definedName>
    <definedName name="QBREPORTCOLAXIS" localSheetId="8">6</definedName>
    <definedName name="QBREPORTCOLAXIS" localSheetId="7">6</definedName>
    <definedName name="QBREPORTCOLAXIS" localSheetId="2">19</definedName>
    <definedName name="QBREPORTCOLAXIS" localSheetId="3">6</definedName>
    <definedName name="QBREPORTCOLAXIS" localSheetId="4">6</definedName>
    <definedName name="QBREPORTCOMPANYID" localSheetId="9">"ed63fede42314b36bb2c132d8ee034e7"</definedName>
    <definedName name="QBREPORTCOMPANYID" localSheetId="6">"ed63fede42314b36bb2c132d8ee034e7"</definedName>
    <definedName name="QBREPORTCOMPANYID" localSheetId="8">"ed63fede42314b36bb2c132d8ee034e7"</definedName>
    <definedName name="QBREPORTCOMPANYID" localSheetId="7">"ed63fede42314b36bb2c132d8ee034e7"</definedName>
    <definedName name="QBREPORTCOMPANYID" localSheetId="2">"d1bc5fb40bb64c32989208a640179ef4"</definedName>
    <definedName name="QBREPORTCOMPANYID" localSheetId="3">"d1bc5fb40bb64c32989208a640179ef4"</definedName>
    <definedName name="QBREPORTCOMPANYID" localSheetId="4">"d1bc5fb40bb64c32989208a640179ef4"</definedName>
    <definedName name="QBREPORTCOMPARECOL_ANNUALBUDGET" localSheetId="9">FALSE</definedName>
    <definedName name="QBREPORTCOMPARECOL_ANNUALBUDGET" localSheetId="6">FALSE</definedName>
    <definedName name="QBREPORTCOMPARECOL_ANNUALBUDGET" localSheetId="8">FALSE</definedName>
    <definedName name="QBREPORTCOMPARECOL_ANNUALBUDGET" localSheetId="7">FALSE</definedName>
    <definedName name="QBREPORTCOMPARECOL_ANNUALBUDGET" localSheetId="2">FALSE</definedName>
    <definedName name="QBREPORTCOMPARECOL_ANNUALBUDGET" localSheetId="3">FALSE</definedName>
    <definedName name="QBREPORTCOMPARECOL_ANNUALBUDGET" localSheetId="4">FALSE</definedName>
    <definedName name="QBREPORTCOMPARECOL_AVGCOGS" localSheetId="9">FALSE</definedName>
    <definedName name="QBREPORTCOMPARECOL_AVGCOGS" localSheetId="6">FALSE</definedName>
    <definedName name="QBREPORTCOMPARECOL_AVGCOGS" localSheetId="8">FALSE</definedName>
    <definedName name="QBREPORTCOMPARECOL_AVGCOGS" localSheetId="7">FALSE</definedName>
    <definedName name="QBREPORTCOMPARECOL_AVGCOGS" localSheetId="2">FALSE</definedName>
    <definedName name="QBREPORTCOMPARECOL_AVGCOGS" localSheetId="3">FALSE</definedName>
    <definedName name="QBREPORTCOMPARECOL_AVGCOGS" localSheetId="4">FALSE</definedName>
    <definedName name="QBREPORTCOMPARECOL_AVGPRICE" localSheetId="9">FALSE</definedName>
    <definedName name="QBREPORTCOMPARECOL_AVGPRICE" localSheetId="6">FALSE</definedName>
    <definedName name="QBREPORTCOMPARECOL_AVGPRICE" localSheetId="8">FALSE</definedName>
    <definedName name="QBREPORTCOMPARECOL_AVGPRICE" localSheetId="7">FALSE</definedName>
    <definedName name="QBREPORTCOMPARECOL_AVGPRICE" localSheetId="2">FALSE</definedName>
    <definedName name="QBREPORTCOMPARECOL_AVGPRICE" localSheetId="3">FALSE</definedName>
    <definedName name="QBREPORTCOMPARECOL_AVGPRICE" localSheetId="4">FALSE</definedName>
    <definedName name="QBREPORTCOMPARECOL_BUDDIFF" localSheetId="9">FALSE</definedName>
    <definedName name="QBREPORTCOMPARECOL_BUDDIFF" localSheetId="6">FALSE</definedName>
    <definedName name="QBREPORTCOMPARECOL_BUDDIFF" localSheetId="8">FALSE</definedName>
    <definedName name="QBREPORTCOMPARECOL_BUDDIFF" localSheetId="7">FALSE</definedName>
    <definedName name="QBREPORTCOMPARECOL_BUDDIFF" localSheetId="2">FALSE</definedName>
    <definedName name="QBREPORTCOMPARECOL_BUDDIFF" localSheetId="3">FALSE</definedName>
    <definedName name="QBREPORTCOMPARECOL_BUDDIFF" localSheetId="4">FALSE</definedName>
    <definedName name="QBREPORTCOMPARECOL_BUDGET" localSheetId="9">FALSE</definedName>
    <definedName name="QBREPORTCOMPARECOL_BUDGET" localSheetId="6">TRUE</definedName>
    <definedName name="QBREPORTCOMPARECOL_BUDGET" localSheetId="8">FALSE</definedName>
    <definedName name="QBREPORTCOMPARECOL_BUDGET" localSheetId="7">FALSE</definedName>
    <definedName name="QBREPORTCOMPARECOL_BUDGET" localSheetId="2">TRUE</definedName>
    <definedName name="QBREPORTCOMPARECOL_BUDGET" localSheetId="3">FALSE</definedName>
    <definedName name="QBREPORTCOMPARECOL_BUDGET" localSheetId="4">FALSE</definedName>
    <definedName name="QBREPORTCOMPARECOL_BUDPCT" localSheetId="9">FALSE</definedName>
    <definedName name="QBREPORTCOMPARECOL_BUDPCT" localSheetId="6">FALSE</definedName>
    <definedName name="QBREPORTCOMPARECOL_BUDPCT" localSheetId="8">FALSE</definedName>
    <definedName name="QBREPORTCOMPARECOL_BUDPCT" localSheetId="7">FALSE</definedName>
    <definedName name="QBREPORTCOMPARECOL_BUDPCT" localSheetId="2">FALSE</definedName>
    <definedName name="QBREPORTCOMPARECOL_BUDPCT" localSheetId="3">FALSE</definedName>
    <definedName name="QBREPORTCOMPARECOL_BUDPCT" localSheetId="4">FALSE</definedName>
    <definedName name="QBREPORTCOMPARECOL_COGS" localSheetId="9">FALSE</definedName>
    <definedName name="QBREPORTCOMPARECOL_COGS" localSheetId="6">FALSE</definedName>
    <definedName name="QBREPORTCOMPARECOL_COGS" localSheetId="8">FALSE</definedName>
    <definedName name="QBREPORTCOMPARECOL_COGS" localSheetId="7">FALSE</definedName>
    <definedName name="QBREPORTCOMPARECOL_COGS" localSheetId="2">FALSE</definedName>
    <definedName name="QBREPORTCOMPARECOL_COGS" localSheetId="3">FALSE</definedName>
    <definedName name="QBREPORTCOMPARECOL_COGS" localSheetId="4">FALSE</definedName>
    <definedName name="QBREPORTCOMPARECOL_EXCLUDEAMOUNT" localSheetId="9">FALSE</definedName>
    <definedName name="QBREPORTCOMPARECOL_EXCLUDEAMOUNT" localSheetId="6">FALSE</definedName>
    <definedName name="QBREPORTCOMPARECOL_EXCLUDEAMOUNT" localSheetId="8">FALSE</definedName>
    <definedName name="QBREPORTCOMPARECOL_EXCLUDEAMOUNT" localSheetId="7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9">FALSE</definedName>
    <definedName name="QBREPORTCOMPARECOL_EXCLUDECURPERIOD" localSheetId="6">FALSE</definedName>
    <definedName name="QBREPORTCOMPARECOL_EXCLUDECURPERIOD" localSheetId="8">FALSE</definedName>
    <definedName name="QBREPORTCOMPARECOL_EXCLUDECURPERIOD" localSheetId="7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9">FALSE</definedName>
    <definedName name="QBREPORTCOMPARECOL_FORECAST" localSheetId="6">FALSE</definedName>
    <definedName name="QBREPORTCOMPARECOL_FORECAST" localSheetId="8">FALSE</definedName>
    <definedName name="QBREPORTCOMPARECOL_FORECAST" localSheetId="7">FALSE</definedName>
    <definedName name="QBREPORTCOMPARECOL_FORECAST" localSheetId="2">FALSE</definedName>
    <definedName name="QBREPORTCOMPARECOL_FORECAST" localSheetId="3">FALSE</definedName>
    <definedName name="QBREPORTCOMPARECOL_FORECAST" localSheetId="4">FALSE</definedName>
    <definedName name="QBREPORTCOMPARECOL_GROSSMARGIN" localSheetId="9">FALSE</definedName>
    <definedName name="QBREPORTCOMPARECOL_GROSSMARGIN" localSheetId="6">FALSE</definedName>
    <definedName name="QBREPORTCOMPARECOL_GROSSMARGIN" localSheetId="8">FALSE</definedName>
    <definedName name="QBREPORTCOMPARECOL_GROSSMARGIN" localSheetId="7">FALSE</definedName>
    <definedName name="QBREPORTCOMPARECOL_GROSSMARGIN" localSheetId="2">FALSE</definedName>
    <definedName name="QBREPORTCOMPARECOL_GROSSMARGIN" localSheetId="3">FALSE</definedName>
    <definedName name="QBREPORTCOMPARECOL_GROSSMARGIN" localSheetId="4">FALSE</definedName>
    <definedName name="QBREPORTCOMPARECOL_GROSSMARGINPCT" localSheetId="9">FALSE</definedName>
    <definedName name="QBREPORTCOMPARECOL_GROSSMARGINPCT" localSheetId="6">FALSE</definedName>
    <definedName name="QBREPORTCOMPARECOL_GROSSMARGINPCT" localSheetId="8">FALSE</definedName>
    <definedName name="QBREPORTCOMPARECOL_GROSSMARGINPCT" localSheetId="7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4">FALSE</definedName>
    <definedName name="QBREPORTCOMPARECOL_HOURS" localSheetId="9">FALSE</definedName>
    <definedName name="QBREPORTCOMPARECOL_HOURS" localSheetId="6">FALSE</definedName>
    <definedName name="QBREPORTCOMPARECOL_HOURS" localSheetId="8">FALSE</definedName>
    <definedName name="QBREPORTCOMPARECOL_HOURS" localSheetId="7">FALSE</definedName>
    <definedName name="QBREPORTCOMPARECOL_HOURS" localSheetId="2">FALSE</definedName>
    <definedName name="QBREPORTCOMPARECOL_HOURS" localSheetId="3">FALSE</definedName>
    <definedName name="QBREPORTCOMPARECOL_HOURS" localSheetId="4">FALSE</definedName>
    <definedName name="QBREPORTCOMPARECOL_PCTCOL" localSheetId="9">FALSE</definedName>
    <definedName name="QBREPORTCOMPARECOL_PCTCOL" localSheetId="6">FALSE</definedName>
    <definedName name="QBREPORTCOMPARECOL_PCTCOL" localSheetId="8">FALSE</definedName>
    <definedName name="QBREPORTCOMPARECOL_PCTCOL" localSheetId="7">FALSE</definedName>
    <definedName name="QBREPORTCOMPARECOL_PCTCOL" localSheetId="2">FALSE</definedName>
    <definedName name="QBREPORTCOMPARECOL_PCTCOL" localSheetId="3">FALSE</definedName>
    <definedName name="QBREPORTCOMPARECOL_PCTCOL" localSheetId="4">FALSE</definedName>
    <definedName name="QBREPORTCOMPARECOL_PCTEXPENSE" localSheetId="9">FALSE</definedName>
    <definedName name="QBREPORTCOMPARECOL_PCTEXPENSE" localSheetId="6">FALSE</definedName>
    <definedName name="QBREPORTCOMPARECOL_PCTEXPENSE" localSheetId="8">FALSE</definedName>
    <definedName name="QBREPORTCOMPARECOL_PCTEXPENSE" localSheetId="7">FALSE</definedName>
    <definedName name="QBREPORTCOMPARECOL_PCTEXPENSE" localSheetId="2">FALSE</definedName>
    <definedName name="QBREPORTCOMPARECOL_PCTEXPENSE" localSheetId="3">FALSE</definedName>
    <definedName name="QBREPORTCOMPARECOL_PCTEXPENSE" localSheetId="4">FALSE</definedName>
    <definedName name="QBREPORTCOMPARECOL_PCTINCOME" localSheetId="9">FALSE</definedName>
    <definedName name="QBREPORTCOMPARECOL_PCTINCOME" localSheetId="6">FALSE</definedName>
    <definedName name="QBREPORTCOMPARECOL_PCTINCOME" localSheetId="8">FALSE</definedName>
    <definedName name="QBREPORTCOMPARECOL_PCTINCOME" localSheetId="7">FALSE</definedName>
    <definedName name="QBREPORTCOMPARECOL_PCTINCOME" localSheetId="2">FALSE</definedName>
    <definedName name="QBREPORTCOMPARECOL_PCTINCOME" localSheetId="3">FALSE</definedName>
    <definedName name="QBREPORTCOMPARECOL_PCTINCOME" localSheetId="4">FALSE</definedName>
    <definedName name="QBREPORTCOMPARECOL_PCTOFSALES" localSheetId="9">FALSE</definedName>
    <definedName name="QBREPORTCOMPARECOL_PCTOFSALES" localSheetId="6">FALSE</definedName>
    <definedName name="QBREPORTCOMPARECOL_PCTOFSALES" localSheetId="8">FALSE</definedName>
    <definedName name="QBREPORTCOMPARECOL_PCTOFSALES" localSheetId="7">FALSE</definedName>
    <definedName name="QBREPORTCOMPARECOL_PCTOFSALES" localSheetId="2">FALSE</definedName>
    <definedName name="QBREPORTCOMPARECOL_PCTOFSALES" localSheetId="3">FALSE</definedName>
    <definedName name="QBREPORTCOMPARECOL_PCTOFSALES" localSheetId="4">FALSE</definedName>
    <definedName name="QBREPORTCOMPARECOL_PCTROW" localSheetId="9">FALSE</definedName>
    <definedName name="QBREPORTCOMPARECOL_PCTROW" localSheetId="6">FALSE</definedName>
    <definedName name="QBREPORTCOMPARECOL_PCTROW" localSheetId="8">FALSE</definedName>
    <definedName name="QBREPORTCOMPARECOL_PCTROW" localSheetId="7">FALSE</definedName>
    <definedName name="QBREPORTCOMPARECOL_PCTROW" localSheetId="2">FALSE</definedName>
    <definedName name="QBREPORTCOMPARECOL_PCTROW" localSheetId="3">FALSE</definedName>
    <definedName name="QBREPORTCOMPARECOL_PCTROW" localSheetId="4">FALSE</definedName>
    <definedName name="QBREPORTCOMPARECOL_PPDIFF" localSheetId="9">FALSE</definedName>
    <definedName name="QBREPORTCOMPARECOL_PPDIFF" localSheetId="6">FALSE</definedName>
    <definedName name="QBREPORTCOMPARECOL_PPDIFF" localSheetId="8">FALSE</definedName>
    <definedName name="QBREPORTCOMPARECOL_PPDIFF" localSheetId="7">FALSE</definedName>
    <definedName name="QBREPORTCOMPARECOL_PPDIFF" localSheetId="2">FALSE</definedName>
    <definedName name="QBREPORTCOMPARECOL_PPDIFF" localSheetId="3">FALSE</definedName>
    <definedName name="QBREPORTCOMPARECOL_PPDIFF" localSheetId="4">FALSE</definedName>
    <definedName name="QBREPORTCOMPARECOL_PPPCT" localSheetId="9">FALSE</definedName>
    <definedName name="QBREPORTCOMPARECOL_PPPCT" localSheetId="6">FALSE</definedName>
    <definedName name="QBREPORTCOMPARECOL_PPPCT" localSheetId="8">FALSE</definedName>
    <definedName name="QBREPORTCOMPARECOL_PPPCT" localSheetId="7">FALSE</definedName>
    <definedName name="QBREPORTCOMPARECOL_PPPCT" localSheetId="2">FALSE</definedName>
    <definedName name="QBREPORTCOMPARECOL_PPPCT" localSheetId="3">FALSE</definedName>
    <definedName name="QBREPORTCOMPARECOL_PPPCT" localSheetId="4">FALSE</definedName>
    <definedName name="QBREPORTCOMPARECOL_PREVPERIOD" localSheetId="9">FALSE</definedName>
    <definedName name="QBREPORTCOMPARECOL_PREVPERIOD" localSheetId="6">FALSE</definedName>
    <definedName name="QBREPORTCOMPARECOL_PREVPERIOD" localSheetId="8">FALSE</definedName>
    <definedName name="QBREPORTCOMPARECOL_PREVPERIOD" localSheetId="7">FALSE</definedName>
    <definedName name="QBREPORTCOMPARECOL_PREVPERIOD" localSheetId="2">FALSE</definedName>
    <definedName name="QBREPORTCOMPARECOL_PREVPERIOD" localSheetId="3">FALSE</definedName>
    <definedName name="QBREPORTCOMPARECOL_PREVPERIOD" localSheetId="4">FALSE</definedName>
    <definedName name="QBREPORTCOMPARECOL_PREVYEAR" localSheetId="9">FALSE</definedName>
    <definedName name="QBREPORTCOMPARECOL_PREVYEAR" localSheetId="6">FALSE</definedName>
    <definedName name="QBREPORTCOMPARECOL_PREVYEAR" localSheetId="8">FALSE</definedName>
    <definedName name="QBREPORTCOMPARECOL_PREVYEAR" localSheetId="7">FALSE</definedName>
    <definedName name="QBREPORTCOMPARECOL_PREVYEAR" localSheetId="2">FALSE</definedName>
    <definedName name="QBREPORTCOMPARECOL_PREVYEAR" localSheetId="3">FALSE</definedName>
    <definedName name="QBREPORTCOMPARECOL_PREVYEAR" localSheetId="4">FALSE</definedName>
    <definedName name="QBREPORTCOMPARECOL_PYDIFF" localSheetId="9">FALSE</definedName>
    <definedName name="QBREPORTCOMPARECOL_PYDIFF" localSheetId="6">FALSE</definedName>
    <definedName name="QBREPORTCOMPARECOL_PYDIFF" localSheetId="8">FALSE</definedName>
    <definedName name="QBREPORTCOMPARECOL_PYDIFF" localSheetId="7">FALSE</definedName>
    <definedName name="QBREPORTCOMPARECOL_PYDIFF" localSheetId="2">FALSE</definedName>
    <definedName name="QBREPORTCOMPARECOL_PYDIFF" localSheetId="3">FALSE</definedName>
    <definedName name="QBREPORTCOMPARECOL_PYDIFF" localSheetId="4">FALSE</definedName>
    <definedName name="QBREPORTCOMPARECOL_PYPCT" localSheetId="9">FALSE</definedName>
    <definedName name="QBREPORTCOMPARECOL_PYPCT" localSheetId="6">FALSE</definedName>
    <definedName name="QBREPORTCOMPARECOL_PYPCT" localSheetId="8">FALSE</definedName>
    <definedName name="QBREPORTCOMPARECOL_PYPCT" localSheetId="7">FALSE</definedName>
    <definedName name="QBREPORTCOMPARECOL_PYPCT" localSheetId="2">FALSE</definedName>
    <definedName name="QBREPORTCOMPARECOL_PYPCT" localSheetId="3">FALSE</definedName>
    <definedName name="QBREPORTCOMPARECOL_PYPCT" localSheetId="4">FALSE</definedName>
    <definedName name="QBREPORTCOMPARECOL_QTY" localSheetId="9">FALSE</definedName>
    <definedName name="QBREPORTCOMPARECOL_QTY" localSheetId="6">FALSE</definedName>
    <definedName name="QBREPORTCOMPARECOL_QTY" localSheetId="8">FALSE</definedName>
    <definedName name="QBREPORTCOMPARECOL_QTY" localSheetId="7">FALSE</definedName>
    <definedName name="QBREPORTCOMPARECOL_QTY" localSheetId="2">FALSE</definedName>
    <definedName name="QBREPORTCOMPARECOL_QTY" localSheetId="3">FALSE</definedName>
    <definedName name="QBREPORTCOMPARECOL_QTY" localSheetId="4">FALSE</definedName>
    <definedName name="QBREPORTCOMPARECOL_RATE" localSheetId="9">FALSE</definedName>
    <definedName name="QBREPORTCOMPARECOL_RATE" localSheetId="6">FALSE</definedName>
    <definedName name="QBREPORTCOMPARECOL_RATE" localSheetId="8">FALSE</definedName>
    <definedName name="QBREPORTCOMPARECOL_RATE" localSheetId="7">FALSE</definedName>
    <definedName name="QBREPORTCOMPARECOL_RATE" localSheetId="2">FALSE</definedName>
    <definedName name="QBREPORTCOMPARECOL_RATE" localSheetId="3">FALSE</definedName>
    <definedName name="QBREPORTCOMPARECOL_RATE" localSheetId="4">FALSE</definedName>
    <definedName name="QBREPORTCOMPARECOL_TRIPBILLEDMILES" localSheetId="9">FALSE</definedName>
    <definedName name="QBREPORTCOMPARECOL_TRIPBILLEDMILES" localSheetId="6">FALSE</definedName>
    <definedName name="QBREPORTCOMPARECOL_TRIPBILLEDMILES" localSheetId="8">FALSE</definedName>
    <definedName name="QBREPORTCOMPARECOL_TRIPBILLEDMILES" localSheetId="7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9">FALSE</definedName>
    <definedName name="QBREPORTCOMPARECOL_TRIPBILLINGAMOUNT" localSheetId="6">FALSE</definedName>
    <definedName name="QBREPORTCOMPARECOL_TRIPBILLINGAMOUNT" localSheetId="8">FALSE</definedName>
    <definedName name="QBREPORTCOMPARECOL_TRIPBILLINGAMOUNT" localSheetId="7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9">FALSE</definedName>
    <definedName name="QBREPORTCOMPARECOL_TRIPMILES" localSheetId="6">FALSE</definedName>
    <definedName name="QBREPORTCOMPARECOL_TRIPMILES" localSheetId="8">FALSE</definedName>
    <definedName name="QBREPORTCOMPARECOL_TRIPMILES" localSheetId="7">FALSE</definedName>
    <definedName name="QBREPORTCOMPARECOL_TRIPMILES" localSheetId="2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9">FALSE</definedName>
    <definedName name="QBREPORTCOMPARECOL_TRIPNOTBILLABLEMILES" localSheetId="6">FALSE</definedName>
    <definedName name="QBREPORTCOMPARECOL_TRIPNOTBILLABLEMILES" localSheetId="8">FALSE</definedName>
    <definedName name="QBREPORTCOMPARECOL_TRIPNOTBILLABLEMILES" localSheetId="7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9">FALSE</definedName>
    <definedName name="QBREPORTCOMPARECOL_TRIPTAXDEDUCTIBLEAMOUNT" localSheetId="6">FALSE</definedName>
    <definedName name="QBREPORTCOMPARECOL_TRIPTAXDEDUCTIBLEAMOUNT" localSheetId="8">FALSE</definedName>
    <definedName name="QBREPORTCOMPARECOL_TRIPTAXDEDUCTIBLEAMOUNT" localSheetId="7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9">FALSE</definedName>
    <definedName name="QBREPORTCOMPARECOL_TRIPUNBILLEDMILES" localSheetId="6">FALSE</definedName>
    <definedName name="QBREPORTCOMPARECOL_TRIPUNBILLEDMILES" localSheetId="8">FALSE</definedName>
    <definedName name="QBREPORTCOMPARECOL_TRIPUNBILLEDMILES" localSheetId="7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4">FALSE</definedName>
    <definedName name="QBREPORTCOMPARECOL_YTD" localSheetId="9">FALSE</definedName>
    <definedName name="QBREPORTCOMPARECOL_YTD" localSheetId="6">FALSE</definedName>
    <definedName name="QBREPORTCOMPARECOL_YTD" localSheetId="8">FALSE</definedName>
    <definedName name="QBREPORTCOMPARECOL_YTD" localSheetId="7">FALSE</definedName>
    <definedName name="QBREPORTCOMPARECOL_YTD" localSheetId="2">FALSE</definedName>
    <definedName name="QBREPORTCOMPARECOL_YTD" localSheetId="3">FALSE</definedName>
    <definedName name="QBREPORTCOMPARECOL_YTD" localSheetId="4">FALSE</definedName>
    <definedName name="QBREPORTCOMPARECOL_YTDBUDGET" localSheetId="9">FALSE</definedName>
    <definedName name="QBREPORTCOMPARECOL_YTDBUDGET" localSheetId="6">FALSE</definedName>
    <definedName name="QBREPORTCOMPARECOL_YTDBUDGET" localSheetId="8">FALSE</definedName>
    <definedName name="QBREPORTCOMPARECOL_YTDBUDGET" localSheetId="7">FALSE</definedName>
    <definedName name="QBREPORTCOMPARECOL_YTDBUDGET" localSheetId="2">FALSE</definedName>
    <definedName name="QBREPORTCOMPARECOL_YTDBUDGET" localSheetId="3">FALSE</definedName>
    <definedName name="QBREPORTCOMPARECOL_YTDBUDGET" localSheetId="4">FALSE</definedName>
    <definedName name="QBREPORTCOMPARECOL_YTDPCT" localSheetId="9">FALSE</definedName>
    <definedName name="QBREPORTCOMPARECOL_YTDPCT" localSheetId="6">FALSE</definedName>
    <definedName name="QBREPORTCOMPARECOL_YTDPCT" localSheetId="8">FALSE</definedName>
    <definedName name="QBREPORTCOMPARECOL_YTDPCT" localSheetId="7">FALSE</definedName>
    <definedName name="QBREPORTCOMPARECOL_YTDPCT" localSheetId="2">FALSE</definedName>
    <definedName name="QBREPORTCOMPARECOL_YTDPCT" localSheetId="3">FALSE</definedName>
    <definedName name="QBREPORTCOMPARECOL_YTDPCT" localSheetId="4">FALSE</definedName>
    <definedName name="QBREPORTROWAXIS" localSheetId="9">11</definedName>
    <definedName name="QBREPORTROWAXIS" localSheetId="6">11</definedName>
    <definedName name="QBREPORTROWAXIS" localSheetId="8">9</definedName>
    <definedName name="QBREPORTROWAXIS" localSheetId="7">11</definedName>
    <definedName name="QBREPORTROWAXIS" localSheetId="2">11</definedName>
    <definedName name="QBREPORTROWAXIS" localSheetId="3">11</definedName>
    <definedName name="QBREPORTROWAXIS" localSheetId="4">9</definedName>
    <definedName name="QBREPORTSUBCOLAXIS" localSheetId="9">0</definedName>
    <definedName name="QBREPORTSUBCOLAXIS" localSheetId="6">24</definedName>
    <definedName name="QBREPORTSUBCOLAXIS" localSheetId="8">0</definedName>
    <definedName name="QBREPORTSUBCOLAXIS" localSheetId="7">0</definedName>
    <definedName name="QBREPORTSUBCOLAXIS" localSheetId="2">24</definedName>
    <definedName name="QBREPORTSUBCOLAXIS" localSheetId="3">0</definedName>
    <definedName name="QBREPORTSUBCOLAXIS" localSheetId="4">0</definedName>
    <definedName name="QBREPORTTYPE" localSheetId="9">0</definedName>
    <definedName name="QBREPORTTYPE" localSheetId="6">288</definedName>
    <definedName name="QBREPORTTYPE" localSheetId="8">5</definedName>
    <definedName name="QBREPORTTYPE" localSheetId="7">0</definedName>
    <definedName name="QBREPORTTYPE" localSheetId="2">288</definedName>
    <definedName name="QBREPORTTYPE" localSheetId="3">0</definedName>
    <definedName name="QBREPORTTYPE" localSheetId="4">5</definedName>
    <definedName name="QBROWHEADERS" localSheetId="9">7</definedName>
    <definedName name="QBROWHEADERS" localSheetId="6">7</definedName>
    <definedName name="QBROWHEADERS" localSheetId="8">7</definedName>
    <definedName name="QBROWHEADERS" localSheetId="7">7</definedName>
    <definedName name="QBROWHEADERS" localSheetId="2">7</definedName>
    <definedName name="QBROWHEADERS" localSheetId="3">7</definedName>
    <definedName name="QBROWHEADERS" localSheetId="4">7</definedName>
    <definedName name="QBSTARTDATE" localSheetId="9">20140701</definedName>
    <definedName name="QBSTARTDATE" localSheetId="6">20190701</definedName>
    <definedName name="QBSTARTDATE" localSheetId="8">20171231</definedName>
    <definedName name="QBSTARTDATE" localSheetId="7">20180901</definedName>
    <definedName name="QBSTARTDATE" localSheetId="2">20180701</definedName>
    <definedName name="QBSTARTDATE" localSheetId="3">20180201</definedName>
    <definedName name="QBSTARTDATE" localSheetId="4">20171231</definedName>
  </definedNames>
  <calcPr calcId="145621"/>
</workbook>
</file>

<file path=xl/calcChain.xml><?xml version="1.0" encoding="utf-8"?>
<calcChain xmlns="http://schemas.openxmlformats.org/spreadsheetml/2006/main">
  <c r="E25" i="6" l="1"/>
  <c r="P31" i="2" l="1"/>
  <c r="C26" i="6"/>
  <c r="CB57" i="7"/>
  <c r="BX56" i="7"/>
  <c r="C25" i="6"/>
  <c r="C27" i="6"/>
  <c r="C28" i="6"/>
  <c r="C4" i="6"/>
  <c r="C17" i="6"/>
  <c r="B19" i="2" l="1"/>
  <c r="I18" i="2"/>
  <c r="I17" i="2"/>
  <c r="I16" i="2"/>
  <c r="B7" i="2"/>
  <c r="B4" i="2"/>
  <c r="B17" i="2"/>
  <c r="C71" i="5"/>
  <c r="C70" i="5"/>
  <c r="C74" i="5"/>
  <c r="C75" i="5"/>
  <c r="C73" i="5"/>
  <c r="C72" i="5"/>
  <c r="C22" i="5"/>
  <c r="CU27" i="27"/>
  <c r="CT27" i="27"/>
  <c r="CT26" i="27"/>
  <c r="CT24" i="27"/>
  <c r="CT46" i="27"/>
  <c r="AD101" i="21"/>
  <c r="AD103" i="21" s="1"/>
  <c r="AB101" i="21"/>
  <c r="AB103" i="21" s="1"/>
  <c r="Z101" i="21"/>
  <c r="Z103" i="21" s="1"/>
  <c r="X101" i="21"/>
  <c r="X103" i="21" s="1"/>
  <c r="V101" i="21"/>
  <c r="V103" i="21" s="1"/>
  <c r="T101" i="21"/>
  <c r="T103" i="21" s="1"/>
  <c r="R101" i="21"/>
  <c r="R103" i="21" s="1"/>
  <c r="P101" i="21"/>
  <c r="P103" i="21" s="1"/>
  <c r="N101" i="21"/>
  <c r="N103" i="21" s="1"/>
  <c r="L101" i="21"/>
  <c r="L103" i="21" s="1"/>
  <c r="J101" i="21"/>
  <c r="J103" i="21" s="1"/>
  <c r="H101" i="21"/>
  <c r="H103" i="21" s="1"/>
  <c r="AD93" i="21"/>
  <c r="AD105" i="21" s="1"/>
  <c r="AB93" i="21"/>
  <c r="AB105" i="21" s="1"/>
  <c r="Z93" i="21"/>
  <c r="Z105" i="21" s="1"/>
  <c r="X93" i="21"/>
  <c r="X105" i="21" s="1"/>
  <c r="V93" i="21"/>
  <c r="V105" i="21" s="1"/>
  <c r="T93" i="21"/>
  <c r="T105" i="21" s="1"/>
  <c r="R93" i="21"/>
  <c r="R105" i="21" s="1"/>
  <c r="P93" i="21"/>
  <c r="P105" i="21" s="1"/>
  <c r="N93" i="21"/>
  <c r="N105" i="21" s="1"/>
  <c r="L93" i="21"/>
  <c r="L105" i="21" s="1"/>
  <c r="J93" i="21"/>
  <c r="J105" i="21" s="1"/>
  <c r="H93" i="21"/>
  <c r="H105" i="21" s="1"/>
  <c r="AD89" i="21"/>
  <c r="AD65" i="21"/>
  <c r="AD82" i="21" s="1"/>
  <c r="AB65" i="21"/>
  <c r="AB82" i="21" s="1"/>
  <c r="Z65" i="21"/>
  <c r="Z82" i="21" s="1"/>
  <c r="X65" i="21"/>
  <c r="X82" i="21" s="1"/>
  <c r="V65" i="21"/>
  <c r="V82" i="21" s="1"/>
  <c r="T65" i="21"/>
  <c r="T82" i="21" s="1"/>
  <c r="R65" i="21"/>
  <c r="R82" i="21" s="1"/>
  <c r="P65" i="21"/>
  <c r="P82" i="21" s="1"/>
  <c r="N65" i="21"/>
  <c r="N82" i="21" s="1"/>
  <c r="L65" i="21"/>
  <c r="L82" i="21" s="1"/>
  <c r="J65" i="21"/>
  <c r="J82" i="21" s="1"/>
  <c r="H65" i="21"/>
  <c r="H82" i="21" s="1"/>
  <c r="AD44" i="21"/>
  <c r="AD85" i="21" s="1"/>
  <c r="AB44" i="21"/>
  <c r="AB85" i="21" s="1"/>
  <c r="Z44" i="21"/>
  <c r="Z85" i="21" s="1"/>
  <c r="X44" i="21"/>
  <c r="X85" i="21" s="1"/>
  <c r="V44" i="21"/>
  <c r="V85" i="21" s="1"/>
  <c r="T44" i="21"/>
  <c r="T85" i="21" s="1"/>
  <c r="R44" i="21"/>
  <c r="R85" i="21" s="1"/>
  <c r="P44" i="21"/>
  <c r="P85" i="21" s="1"/>
  <c r="N44" i="21"/>
  <c r="N85" i="21" s="1"/>
  <c r="L44" i="21"/>
  <c r="L85" i="21" s="1"/>
  <c r="J44" i="21"/>
  <c r="J85" i="21" s="1"/>
  <c r="H44" i="21"/>
  <c r="H85" i="21" s="1"/>
  <c r="AD39" i="21"/>
  <c r="AD86" i="21" s="1"/>
  <c r="AD87" i="21" s="1"/>
  <c r="AD106" i="21" s="1"/>
  <c r="AB39" i="21"/>
  <c r="AB86" i="21" s="1"/>
  <c r="AB87" i="21" s="1"/>
  <c r="AB106" i="21" s="1"/>
  <c r="Z39" i="21"/>
  <c r="Z86" i="21" s="1"/>
  <c r="Z87" i="21" s="1"/>
  <c r="Z106" i="21" s="1"/>
  <c r="X39" i="21"/>
  <c r="X86" i="21" s="1"/>
  <c r="X87" i="21" s="1"/>
  <c r="X106" i="21" s="1"/>
  <c r="V39" i="21"/>
  <c r="V86" i="21" s="1"/>
  <c r="V87" i="21" s="1"/>
  <c r="V106" i="21" s="1"/>
  <c r="T39" i="21"/>
  <c r="T86" i="21" s="1"/>
  <c r="T87" i="21" s="1"/>
  <c r="T106" i="21" s="1"/>
  <c r="R39" i="21"/>
  <c r="R86" i="21" s="1"/>
  <c r="R87" i="21" s="1"/>
  <c r="R106" i="21" s="1"/>
  <c r="P39" i="21"/>
  <c r="P86" i="21" s="1"/>
  <c r="P87" i="21" s="1"/>
  <c r="P106" i="21" s="1"/>
  <c r="N39" i="21"/>
  <c r="N86" i="21" s="1"/>
  <c r="N87" i="21" s="1"/>
  <c r="N106" i="21" s="1"/>
  <c r="L39" i="21"/>
  <c r="L86" i="21" s="1"/>
  <c r="L87" i="21" s="1"/>
  <c r="L106" i="21" s="1"/>
  <c r="J39" i="21"/>
  <c r="J86" i="21" s="1"/>
  <c r="J87" i="21" s="1"/>
  <c r="J106" i="21" s="1"/>
  <c r="H39" i="21"/>
  <c r="H86" i="21" s="1"/>
  <c r="H87" i="21" s="1"/>
  <c r="H106" i="21" s="1"/>
  <c r="AD32" i="21"/>
  <c r="AB32" i="21"/>
  <c r="Z32" i="21"/>
  <c r="X32" i="21"/>
  <c r="V32" i="21"/>
  <c r="T32" i="21"/>
  <c r="R32" i="21"/>
  <c r="P32" i="21"/>
  <c r="N32" i="21"/>
  <c r="L32" i="21"/>
  <c r="J32" i="21"/>
  <c r="H32" i="21"/>
  <c r="AD26" i="21"/>
  <c r="AB26" i="21"/>
  <c r="Z26" i="21"/>
  <c r="X26" i="21"/>
  <c r="V26" i="21"/>
  <c r="T26" i="21"/>
  <c r="R26" i="21"/>
  <c r="P26" i="21"/>
  <c r="N26" i="21"/>
  <c r="L26" i="21"/>
  <c r="J26" i="21"/>
  <c r="H26" i="21"/>
  <c r="AD19" i="21"/>
  <c r="AB19" i="21"/>
  <c r="Z19" i="21"/>
  <c r="X19" i="21"/>
  <c r="V19" i="21"/>
  <c r="T19" i="21"/>
  <c r="R19" i="21"/>
  <c r="P19" i="21"/>
  <c r="N19" i="21"/>
  <c r="L19" i="21"/>
  <c r="J19" i="21"/>
  <c r="H19" i="21"/>
  <c r="AD12" i="21"/>
  <c r="AB12" i="21"/>
  <c r="Z12" i="21"/>
  <c r="X12" i="21"/>
  <c r="V12" i="21"/>
  <c r="T12" i="21"/>
  <c r="R12" i="21"/>
  <c r="P12" i="21"/>
  <c r="N12" i="21"/>
  <c r="L12" i="21"/>
  <c r="J12" i="21"/>
  <c r="H12" i="21"/>
  <c r="AD7" i="21"/>
  <c r="AD16" i="21" s="1"/>
  <c r="AD27" i="21" s="1"/>
  <c r="AD33" i="21" s="1"/>
  <c r="AB7" i="21"/>
  <c r="AB16" i="21" s="1"/>
  <c r="AB27" i="21" s="1"/>
  <c r="AB33" i="21" s="1"/>
  <c r="Z7" i="21"/>
  <c r="Z16" i="21" s="1"/>
  <c r="Z27" i="21" s="1"/>
  <c r="Z33" i="21" s="1"/>
  <c r="X7" i="21"/>
  <c r="X16" i="21" s="1"/>
  <c r="X27" i="21" s="1"/>
  <c r="X33" i="21" s="1"/>
  <c r="V7" i="21"/>
  <c r="V16" i="21" s="1"/>
  <c r="V27" i="21" s="1"/>
  <c r="V33" i="21" s="1"/>
  <c r="T7" i="21"/>
  <c r="T16" i="21" s="1"/>
  <c r="T27" i="21" s="1"/>
  <c r="T33" i="21" s="1"/>
  <c r="R7" i="21"/>
  <c r="R16" i="21" s="1"/>
  <c r="R27" i="21" s="1"/>
  <c r="R33" i="21" s="1"/>
  <c r="P7" i="21"/>
  <c r="P16" i="21" s="1"/>
  <c r="P27" i="21" s="1"/>
  <c r="P33" i="21" s="1"/>
  <c r="N7" i="21"/>
  <c r="N16" i="21" s="1"/>
  <c r="N27" i="21" s="1"/>
  <c r="N33" i="21" s="1"/>
  <c r="L7" i="21"/>
  <c r="L16" i="21" s="1"/>
  <c r="L27" i="21" s="1"/>
  <c r="L33" i="21" s="1"/>
  <c r="J7" i="21"/>
  <c r="J16" i="21" s="1"/>
  <c r="J27" i="21" s="1"/>
  <c r="J33" i="21" s="1"/>
  <c r="H7" i="21"/>
  <c r="H16" i="21" s="1"/>
  <c r="H27" i="21" s="1"/>
  <c r="H33" i="21" s="1"/>
  <c r="D5" i="2" l="1"/>
  <c r="F5" i="2"/>
  <c r="P5" i="2"/>
  <c r="Q5" i="2"/>
  <c r="S5" i="2"/>
  <c r="R5" i="2" l="1"/>
  <c r="T5" i="2"/>
  <c r="H56" i="7" l="1"/>
  <c r="L56" i="7"/>
  <c r="P56" i="7"/>
  <c r="T56" i="7"/>
  <c r="AJ56" i="7"/>
  <c r="AN56" i="7"/>
  <c r="AR56" i="7"/>
  <c r="BH56" i="7"/>
  <c r="P57" i="7"/>
  <c r="T57" i="7"/>
  <c r="CT19" i="27" l="1"/>
  <c r="F93" i="2" l="1"/>
  <c r="F92" i="2"/>
  <c r="F91" i="2"/>
  <c r="F90" i="2"/>
  <c r="F89" i="2"/>
  <c r="F88" i="2"/>
  <c r="F82" i="2"/>
  <c r="F83" i="2"/>
  <c r="F84" i="2"/>
  <c r="F85" i="2"/>
  <c r="F81" i="2"/>
  <c r="B93" i="2"/>
  <c r="F94" i="2" s="1"/>
  <c r="P32" i="2" l="1"/>
  <c r="I47" i="6"/>
  <c r="I46" i="6"/>
  <c r="I49" i="6"/>
  <c r="H47" i="6"/>
  <c r="H46" i="6"/>
  <c r="H62" i="6" s="1"/>
  <c r="H49" i="6"/>
  <c r="G47" i="6"/>
  <c r="G46" i="6"/>
  <c r="G49" i="6"/>
  <c r="F49" i="6"/>
  <c r="F47" i="6"/>
  <c r="F46" i="6"/>
  <c r="D47" i="6"/>
  <c r="D46" i="6"/>
  <c r="D49" i="6"/>
  <c r="C47" i="6"/>
  <c r="C63" i="6" s="1"/>
  <c r="C46" i="6"/>
  <c r="C49" i="6"/>
  <c r="B49" i="6"/>
  <c r="B47" i="6"/>
  <c r="B46" i="6"/>
  <c r="F45" i="6"/>
  <c r="G45" i="6"/>
  <c r="H45" i="6"/>
  <c r="I45" i="6"/>
  <c r="D45" i="6"/>
  <c r="C45" i="6"/>
  <c r="B45" i="6"/>
  <c r="C24" i="6"/>
  <c r="C23" i="6"/>
  <c r="C11" i="6"/>
  <c r="D39" i="6" l="1"/>
  <c r="D38" i="6"/>
  <c r="C39" i="6"/>
  <c r="C38" i="6"/>
  <c r="B39" i="6"/>
  <c r="B38" i="6"/>
  <c r="B24" i="6"/>
  <c r="B75" i="5"/>
  <c r="B43" i="5"/>
  <c r="B7" i="5"/>
  <c r="B93" i="5"/>
  <c r="B96" i="5"/>
  <c r="H96" i="5"/>
  <c r="H94" i="5"/>
  <c r="H93" i="5"/>
  <c r="I94" i="5"/>
  <c r="I93" i="5"/>
  <c r="I96" i="5"/>
  <c r="G96" i="5"/>
  <c r="G94" i="5"/>
  <c r="G93" i="5"/>
  <c r="D94" i="5"/>
  <c r="D93" i="5"/>
  <c r="D96" i="5"/>
  <c r="C96" i="5"/>
  <c r="C94" i="5"/>
  <c r="C93" i="5"/>
  <c r="B47" i="5"/>
  <c r="B26" i="5"/>
  <c r="B23" i="5"/>
  <c r="B32" i="5"/>
  <c r="B29" i="5"/>
  <c r="B30" i="5"/>
  <c r="B25" i="5"/>
  <c r="B24" i="5"/>
  <c r="B22" i="5"/>
  <c r="H88" i="5"/>
  <c r="H86" i="5"/>
  <c r="H85" i="5"/>
  <c r="I88" i="5"/>
  <c r="I86" i="5"/>
  <c r="I85" i="5"/>
  <c r="C88" i="5"/>
  <c r="C86" i="5"/>
  <c r="D88" i="5"/>
  <c r="D86" i="5"/>
  <c r="G88" i="5"/>
  <c r="G86" i="5"/>
  <c r="G85" i="5"/>
  <c r="D85" i="5"/>
  <c r="C85" i="5"/>
  <c r="B88" i="5"/>
  <c r="B86" i="5"/>
  <c r="B85" i="5"/>
  <c r="I92" i="5"/>
  <c r="H92" i="5"/>
  <c r="G92" i="5"/>
  <c r="D92" i="5"/>
  <c r="C92" i="5"/>
  <c r="B92" i="5"/>
  <c r="I84" i="5"/>
  <c r="H84" i="5"/>
  <c r="G84" i="5"/>
  <c r="D84" i="5"/>
  <c r="C84" i="5"/>
  <c r="B84" i="5"/>
  <c r="B94" i="5"/>
  <c r="L49" i="2"/>
  <c r="D87" i="5" l="1"/>
  <c r="B87" i="5"/>
  <c r="I87" i="5"/>
  <c r="G87" i="5"/>
  <c r="C87" i="5"/>
  <c r="H87" i="5"/>
  <c r="CQ46" i="27"/>
  <c r="E7" i="2" s="1"/>
  <c r="CR46" i="27"/>
  <c r="L7" i="2" s="1"/>
  <c r="CS29" i="27"/>
  <c r="CS31" i="27"/>
  <c r="CS32" i="27"/>
  <c r="CS33" i="27"/>
  <c r="CS34" i="27"/>
  <c r="CS35" i="27"/>
  <c r="CS36" i="27"/>
  <c r="CS37" i="27"/>
  <c r="CS38" i="27"/>
  <c r="CS39" i="27"/>
  <c r="CS40" i="27"/>
  <c r="CS41" i="27"/>
  <c r="CS43" i="27"/>
  <c r="CS44" i="27"/>
  <c r="CS45" i="27"/>
  <c r="S7" i="2" l="1"/>
  <c r="CS46" i="27"/>
  <c r="CQ23" i="27" l="1"/>
  <c r="CS23" i="27" s="1"/>
  <c r="CQ22" i="27"/>
  <c r="CS22" i="27" s="1"/>
  <c r="CQ20" i="27"/>
  <c r="CS20" i="27" s="1"/>
  <c r="CQ18" i="27"/>
  <c r="CS18" i="27" s="1"/>
  <c r="CQ17" i="27"/>
  <c r="CS17" i="27" s="1"/>
  <c r="CR14" i="27"/>
  <c r="CS14" i="27" s="1"/>
  <c r="CQ13" i="27"/>
  <c r="CS13" i="27" s="1"/>
  <c r="CR12" i="27"/>
  <c r="CS12" i="27" s="1"/>
  <c r="CQ11" i="27"/>
  <c r="CS11" i="27" s="1"/>
  <c r="CR10" i="27"/>
  <c r="CQ8" i="27"/>
  <c r="CQ27" i="27" s="1"/>
  <c r="E4" i="2" s="1"/>
  <c r="B10" i="5"/>
  <c r="CT13" i="27"/>
  <c r="CU46" i="27"/>
  <c r="I7" i="2" s="1"/>
  <c r="CU45" i="27"/>
  <c r="CT45" i="27"/>
  <c r="CU44" i="27"/>
  <c r="CT44" i="27"/>
  <c r="CU43" i="27"/>
  <c r="CT43" i="27"/>
  <c r="CU42" i="27"/>
  <c r="CT42" i="27"/>
  <c r="CV42" i="27" s="1"/>
  <c r="CU41" i="27"/>
  <c r="CV41" i="27" s="1"/>
  <c r="CT41" i="27"/>
  <c r="CU40" i="27"/>
  <c r="CT40" i="27"/>
  <c r="CU39" i="27"/>
  <c r="CT39" i="27"/>
  <c r="CU38" i="27"/>
  <c r="CT38" i="27"/>
  <c r="CV38" i="27" s="1"/>
  <c r="CU37" i="27"/>
  <c r="CT37" i="27"/>
  <c r="CU36" i="27"/>
  <c r="CT36" i="27"/>
  <c r="CU35" i="27"/>
  <c r="CV35" i="27" s="1"/>
  <c r="CT35" i="27"/>
  <c r="CU34" i="27"/>
  <c r="CT34" i="27"/>
  <c r="CV34" i="27" s="1"/>
  <c r="CU33" i="27"/>
  <c r="CT33" i="27"/>
  <c r="CU32" i="27"/>
  <c r="CT32" i="27"/>
  <c r="CU31" i="27"/>
  <c r="CT31" i="27"/>
  <c r="CU30" i="27"/>
  <c r="CT30" i="27"/>
  <c r="CT29" i="27"/>
  <c r="CU29" i="27"/>
  <c r="P49" i="2"/>
  <c r="CV33" i="27"/>
  <c r="CV43" i="27"/>
  <c r="CV46" i="27"/>
  <c r="CT23" i="27"/>
  <c r="CT22" i="27"/>
  <c r="CT20" i="27"/>
  <c r="C24" i="5" s="1"/>
  <c r="CT18" i="27"/>
  <c r="CT17" i="27"/>
  <c r="CU14" i="27"/>
  <c r="C32" i="5" s="1"/>
  <c r="CU12" i="27"/>
  <c r="C30" i="5" s="1"/>
  <c r="CT11" i="27"/>
  <c r="CU10" i="27"/>
  <c r="C29" i="5" s="1"/>
  <c r="CT8" i="27"/>
  <c r="B12" i="2"/>
  <c r="I12" i="2"/>
  <c r="CV29" i="27" l="1"/>
  <c r="CV31" i="27"/>
  <c r="CV37" i="27"/>
  <c r="CV39" i="27"/>
  <c r="CV45" i="27"/>
  <c r="C25" i="5"/>
  <c r="CV30" i="27"/>
  <c r="CV32" i="27"/>
  <c r="CV36" i="27"/>
  <c r="CV40" i="27"/>
  <c r="CV44" i="27"/>
  <c r="CR27" i="27"/>
  <c r="L4" i="2" s="1"/>
  <c r="C23" i="5"/>
  <c r="C26" i="5"/>
  <c r="CS10" i="27"/>
  <c r="CS8" i="27"/>
  <c r="I4" i="2"/>
  <c r="CS27" i="27"/>
  <c r="CV27" i="27" l="1"/>
  <c r="CT48" i="27" l="1"/>
  <c r="CV48" i="27" s="1"/>
  <c r="CU48" i="27"/>
  <c r="CT47" i="27" l="1"/>
  <c r="CU47" i="27"/>
  <c r="S53" i="2"/>
  <c r="S36" i="2"/>
  <c r="S32" i="2"/>
  <c r="S49" i="2"/>
  <c r="E31" i="2"/>
  <c r="S31" i="2" s="1"/>
  <c r="S34" i="2" s="1"/>
  <c r="S12" i="2"/>
  <c r="S4" i="2"/>
  <c r="L50" i="2"/>
  <c r="H50" i="2"/>
  <c r="R25" i="2"/>
  <c r="P25" i="2"/>
  <c r="I50" i="2" s="1"/>
  <c r="S23" i="2"/>
  <c r="S22" i="2"/>
  <c r="CV47" i="27" l="1"/>
  <c r="S48" i="2"/>
  <c r="L16" i="2"/>
  <c r="L47" i="2" s="1"/>
  <c r="L17" i="2"/>
  <c r="B54" i="5" s="1"/>
  <c r="E34" i="2"/>
  <c r="B74" i="5" l="1"/>
  <c r="B55" i="5"/>
  <c r="L20" i="2"/>
  <c r="S6" i="2"/>
  <c r="S10" i="2" s="1"/>
  <c r="L31" i="2" l="1"/>
  <c r="D36" i="2"/>
  <c r="F36" i="2"/>
  <c r="P33" i="2" l="1"/>
  <c r="T33" i="2" s="1"/>
  <c r="D8" i="6"/>
  <c r="P8" i="2" l="1"/>
  <c r="T8" i="2" s="1"/>
  <c r="D62" i="5"/>
  <c r="I95" i="5" l="1"/>
  <c r="D17" i="2" l="1"/>
  <c r="D9" i="2"/>
  <c r="P24" i="2" l="1"/>
  <c r="R24" i="2" l="1"/>
  <c r="I49" i="2"/>
  <c r="S57" i="2" l="1"/>
  <c r="S58" i="2"/>
  <c r="K16" i="2" l="1"/>
  <c r="P22" i="2"/>
  <c r="R22" i="2" s="1"/>
  <c r="I47" i="2"/>
  <c r="T24" i="2" l="1"/>
  <c r="D24" i="5" l="1"/>
  <c r="B27" i="5"/>
  <c r="B4" i="5" s="1"/>
  <c r="B33" i="5"/>
  <c r="B35" i="5" l="1"/>
  <c r="D23" i="5"/>
  <c r="D32" i="5"/>
  <c r="E32" i="5"/>
  <c r="D25" i="5"/>
  <c r="K4" i="2"/>
  <c r="E24" i="5"/>
  <c r="E23" i="5" l="1"/>
  <c r="E25" i="5"/>
  <c r="E26" i="5"/>
  <c r="D26" i="5"/>
  <c r="C27" i="5"/>
  <c r="C33" i="5"/>
  <c r="D29" i="5"/>
  <c r="E29" i="5"/>
  <c r="D30" i="5"/>
  <c r="E30" i="5"/>
  <c r="E22" i="5"/>
  <c r="D22" i="5"/>
  <c r="D27" i="5" l="1"/>
  <c r="C4" i="5"/>
  <c r="E27" i="5"/>
  <c r="E33" i="5"/>
  <c r="D33" i="5"/>
  <c r="C35" i="5"/>
  <c r="B66" i="5"/>
  <c r="E35" i="5" l="1"/>
  <c r="D35" i="5"/>
  <c r="C7" i="5"/>
  <c r="C43" i="5"/>
  <c r="M16" i="2" l="1"/>
  <c r="Q50" i="2" l="1"/>
  <c r="Q18" i="2"/>
  <c r="Q7" i="2" l="1"/>
  <c r="Q49" i="2"/>
  <c r="Q31" i="2" l="1"/>
  <c r="J32" i="2"/>
  <c r="K7" i="2" l="1"/>
  <c r="F43" i="2" l="1"/>
  <c r="B44" i="2"/>
  <c r="D44" i="2" s="1"/>
  <c r="B45" i="2"/>
  <c r="D45" i="2" s="1"/>
  <c r="P41" i="2" l="1"/>
  <c r="R41" i="2" s="1"/>
  <c r="I43" i="2"/>
  <c r="K43" i="2" s="1"/>
  <c r="I9" i="2"/>
  <c r="K9" i="2" s="1"/>
  <c r="B32" i="2" l="1"/>
  <c r="D32" i="2" s="1"/>
  <c r="P58" i="2" l="1"/>
  <c r="P50" i="2" l="1"/>
  <c r="R50" i="2" s="1"/>
  <c r="F63" i="6"/>
  <c r="G95" i="5" l="1"/>
  <c r="J96" i="5" l="1"/>
  <c r="I110" i="5"/>
  <c r="J94" i="5"/>
  <c r="I111" i="5"/>
  <c r="L43" i="2" l="1"/>
  <c r="S50" i="2"/>
  <c r="S51" i="2" s="1"/>
  <c r="E42" i="5"/>
  <c r="D42" i="5"/>
  <c r="E6" i="5"/>
  <c r="D6" i="5"/>
  <c r="T50" i="2" l="1"/>
  <c r="M43" i="2"/>
  <c r="D19" i="2" l="1"/>
  <c r="S40" i="2" l="1"/>
  <c r="Q4" i="2" l="1"/>
  <c r="Q48" i="2"/>
  <c r="Q6" i="2" l="1"/>
  <c r="Q10" i="2"/>
  <c r="K18" i="2" l="1"/>
  <c r="K17" i="2" l="1"/>
  <c r="P23" i="2"/>
  <c r="I20" i="2"/>
  <c r="C66" i="5"/>
  <c r="R23" i="2" l="1"/>
  <c r="I48" i="2"/>
  <c r="D7" i="2"/>
  <c r="I109" i="5" l="1"/>
  <c r="H95" i="5" l="1"/>
  <c r="J95" i="5" s="1"/>
  <c r="D4" i="2" l="1"/>
  <c r="D25" i="6"/>
  <c r="I62" i="6"/>
  <c r="D63" i="6"/>
  <c r="E26" i="6"/>
  <c r="P4" i="2" l="1"/>
  <c r="R4" i="2" s="1"/>
  <c r="F4" i="2"/>
  <c r="I48" i="6"/>
  <c r="F48" i="6"/>
  <c r="G62" i="6"/>
  <c r="G54" i="6"/>
  <c r="J49" i="6"/>
  <c r="P53" i="2" l="1"/>
  <c r="J41" i="2"/>
  <c r="L42" i="2"/>
  <c r="J42" i="2"/>
  <c r="L41" i="2"/>
  <c r="B61" i="5" l="1"/>
  <c r="P36" i="2"/>
  <c r="B41" i="5"/>
  <c r="B5" i="5"/>
  <c r="J84" i="5"/>
  <c r="J85" i="5"/>
  <c r="J86" i="5"/>
  <c r="E84" i="5"/>
  <c r="E85" i="5"/>
  <c r="E86" i="5"/>
  <c r="E87" i="5"/>
  <c r="J36" i="6"/>
  <c r="J37" i="6"/>
  <c r="J38" i="6"/>
  <c r="J39" i="6"/>
  <c r="F40" i="6"/>
  <c r="G40" i="6"/>
  <c r="H40" i="6"/>
  <c r="I40" i="6"/>
  <c r="I57" i="6" s="1"/>
  <c r="E36" i="6"/>
  <c r="E37" i="6"/>
  <c r="E38" i="6"/>
  <c r="E39" i="6"/>
  <c r="G4" i="6"/>
  <c r="D23" i="6"/>
  <c r="D26" i="6"/>
  <c r="F26" i="6"/>
  <c r="D27" i="6"/>
  <c r="D28" i="6"/>
  <c r="B29" i="6"/>
  <c r="E24" i="6"/>
  <c r="B53" i="6"/>
  <c r="C53" i="6"/>
  <c r="D79" i="6"/>
  <c r="D85" i="6" s="1"/>
  <c r="F61" i="6"/>
  <c r="G53" i="6"/>
  <c r="H79" i="6"/>
  <c r="H85" i="6" s="1"/>
  <c r="I61" i="6"/>
  <c r="B54" i="6"/>
  <c r="C54" i="6"/>
  <c r="D62" i="6"/>
  <c r="F54" i="6"/>
  <c r="I54" i="6"/>
  <c r="B55" i="6"/>
  <c r="C81" i="6"/>
  <c r="G63" i="6"/>
  <c r="H63" i="6"/>
  <c r="I81" i="6"/>
  <c r="I87" i="6" s="1"/>
  <c r="C57" i="6"/>
  <c r="D57" i="6"/>
  <c r="D53" i="6"/>
  <c r="H53" i="6"/>
  <c r="D55" i="6"/>
  <c r="G55" i="6"/>
  <c r="H55" i="6"/>
  <c r="I55" i="6"/>
  <c r="D61" i="6"/>
  <c r="I63" i="6"/>
  <c r="C65" i="6"/>
  <c r="B79" i="6"/>
  <c r="B85" i="6" s="1"/>
  <c r="I79" i="6"/>
  <c r="I85" i="6" s="1"/>
  <c r="B80" i="6"/>
  <c r="D80" i="6"/>
  <c r="D86" i="6" s="1"/>
  <c r="G80" i="6"/>
  <c r="G86" i="6" s="1"/>
  <c r="B81" i="6"/>
  <c r="B87" i="6" s="1"/>
  <c r="D81" i="6"/>
  <c r="D87" i="6" s="1"/>
  <c r="B82" i="6"/>
  <c r="G87" i="6"/>
  <c r="E40" i="6" l="1"/>
  <c r="K86" i="5"/>
  <c r="Q36" i="2"/>
  <c r="R36" i="2" s="1"/>
  <c r="K85" i="5"/>
  <c r="K84" i="5"/>
  <c r="B44" i="5"/>
  <c r="B48" i="5" s="1"/>
  <c r="T36" i="2"/>
  <c r="B8" i="5"/>
  <c r="B11" i="5" s="1"/>
  <c r="B57" i="6"/>
  <c r="K36" i="6"/>
  <c r="K39" i="6"/>
  <c r="K38" i="6"/>
  <c r="K37" i="6"/>
  <c r="C61" i="6"/>
  <c r="H81" i="6"/>
  <c r="H87" i="6" s="1"/>
  <c r="C79" i="6"/>
  <c r="E79" i="6" s="1"/>
  <c r="E85" i="6" s="1"/>
  <c r="C80" i="6"/>
  <c r="C86" i="6" s="1"/>
  <c r="C62" i="6"/>
  <c r="G79" i="6"/>
  <c r="G85" i="6" s="1"/>
  <c r="B62" i="6"/>
  <c r="G61" i="6"/>
  <c r="G48" i="6"/>
  <c r="G82" i="6" s="1"/>
  <c r="G88" i="6" s="1"/>
  <c r="H80" i="6"/>
  <c r="H86" i="6" s="1"/>
  <c r="H61" i="6"/>
  <c r="H54" i="6"/>
  <c r="I53" i="6"/>
  <c r="C55" i="6"/>
  <c r="F80" i="6"/>
  <c r="F86" i="6" s="1"/>
  <c r="I65" i="6"/>
  <c r="F55" i="6"/>
  <c r="F53" i="6"/>
  <c r="F62" i="6"/>
  <c r="F56" i="6"/>
  <c r="J46" i="6"/>
  <c r="J62" i="6" s="1"/>
  <c r="J40" i="6"/>
  <c r="B31" i="6"/>
  <c r="G65" i="6"/>
  <c r="B6" i="6"/>
  <c r="C87" i="6"/>
  <c r="E81" i="6"/>
  <c r="E87" i="6" s="1"/>
  <c r="F79" i="6"/>
  <c r="F85" i="6" s="1"/>
  <c r="D54" i="6"/>
  <c r="I56" i="6"/>
  <c r="D48" i="6"/>
  <c r="D64" i="6" s="1"/>
  <c r="E47" i="6"/>
  <c r="E55" i="6" s="1"/>
  <c r="E45" i="6"/>
  <c r="E61" i="6" s="1"/>
  <c r="F57" i="6"/>
  <c r="B61" i="6"/>
  <c r="H48" i="6"/>
  <c r="H82" i="6" s="1"/>
  <c r="C48" i="6"/>
  <c r="C56" i="6" s="1"/>
  <c r="J47" i="6"/>
  <c r="E46" i="6"/>
  <c r="E62" i="6" s="1"/>
  <c r="C29" i="6"/>
  <c r="D65" i="6"/>
  <c r="J45" i="6"/>
  <c r="B48" i="6"/>
  <c r="E23" i="6"/>
  <c r="G23" i="6" s="1"/>
  <c r="H65" i="6"/>
  <c r="E88" i="5"/>
  <c r="H57" i="6"/>
  <c r="G57" i="6"/>
  <c r="B86" i="6"/>
  <c r="F24" i="6"/>
  <c r="G24" i="6"/>
  <c r="B88" i="6"/>
  <c r="B83" i="6"/>
  <c r="B89" i="6" s="1"/>
  <c r="F81" i="6"/>
  <c r="I80" i="6"/>
  <c r="I86" i="6" s="1"/>
  <c r="F65" i="6"/>
  <c r="B65" i="6"/>
  <c r="B63" i="6"/>
  <c r="E28" i="6"/>
  <c r="D24" i="6"/>
  <c r="D29" i="6" s="1"/>
  <c r="E27" i="6"/>
  <c r="E29" i="6" l="1"/>
  <c r="B31" i="2"/>
  <c r="B64" i="6"/>
  <c r="B56" i="6"/>
  <c r="C82" i="6"/>
  <c r="C88" i="6" s="1"/>
  <c r="B14" i="5"/>
  <c r="B17" i="5" s="1"/>
  <c r="K40" i="6"/>
  <c r="C85" i="6"/>
  <c r="S37" i="2"/>
  <c r="P34" i="2"/>
  <c r="D4" i="6"/>
  <c r="E80" i="6"/>
  <c r="E86" i="6" s="1"/>
  <c r="J57" i="6"/>
  <c r="K47" i="6"/>
  <c r="D82" i="6"/>
  <c r="D83" i="6" s="1"/>
  <c r="D89" i="6" s="1"/>
  <c r="J65" i="6"/>
  <c r="D56" i="6"/>
  <c r="G83" i="6"/>
  <c r="G89" i="6" s="1"/>
  <c r="C31" i="6"/>
  <c r="G64" i="6"/>
  <c r="J63" i="6"/>
  <c r="G56" i="6"/>
  <c r="F82" i="6"/>
  <c r="F83" i="6" s="1"/>
  <c r="C83" i="6"/>
  <c r="C89" i="6" s="1"/>
  <c r="F64" i="6"/>
  <c r="I64" i="6"/>
  <c r="E48" i="6"/>
  <c r="E56" i="6" s="1"/>
  <c r="E54" i="6"/>
  <c r="E63" i="6"/>
  <c r="J54" i="6"/>
  <c r="D31" i="6"/>
  <c r="K46" i="6"/>
  <c r="H64" i="6"/>
  <c r="J55" i="6"/>
  <c r="I82" i="6"/>
  <c r="I88" i="6" s="1"/>
  <c r="C64" i="6"/>
  <c r="F29" i="6"/>
  <c r="H56" i="6"/>
  <c r="J48" i="6"/>
  <c r="J79" i="6"/>
  <c r="K45" i="6"/>
  <c r="J53" i="6"/>
  <c r="F23" i="6"/>
  <c r="E53" i="6"/>
  <c r="J61" i="6"/>
  <c r="J81" i="6"/>
  <c r="F87" i="6"/>
  <c r="F27" i="6"/>
  <c r="G27" i="6"/>
  <c r="J80" i="6"/>
  <c r="H88" i="6"/>
  <c r="H83" i="6"/>
  <c r="H89" i="6" s="1"/>
  <c r="R31" i="2" l="1"/>
  <c r="P48" i="2"/>
  <c r="K48" i="6"/>
  <c r="B9" i="6"/>
  <c r="F31" i="2"/>
  <c r="D31" i="2"/>
  <c r="K54" i="6"/>
  <c r="K62" i="6"/>
  <c r="T31" i="2"/>
  <c r="L32" i="2"/>
  <c r="K63" i="6"/>
  <c r="K55" i="6"/>
  <c r="E31" i="6"/>
  <c r="F31" i="6" s="1"/>
  <c r="E82" i="6"/>
  <c r="E88" i="6" s="1"/>
  <c r="D88" i="6"/>
  <c r="C6" i="6"/>
  <c r="E4" i="6"/>
  <c r="E64" i="6"/>
  <c r="F88" i="6"/>
  <c r="E49" i="6"/>
  <c r="K49" i="6" s="1"/>
  <c r="G29" i="6"/>
  <c r="J82" i="6"/>
  <c r="J88" i="6" s="1"/>
  <c r="I83" i="6"/>
  <c r="I89" i="6" s="1"/>
  <c r="J64" i="6"/>
  <c r="J56" i="6"/>
  <c r="K53" i="6"/>
  <c r="K61" i="6"/>
  <c r="K79" i="6"/>
  <c r="L79" i="6" s="1"/>
  <c r="J85" i="6"/>
  <c r="K85" i="6" s="1"/>
  <c r="K81" i="6"/>
  <c r="L81" i="6" s="1"/>
  <c r="J87" i="6"/>
  <c r="K87" i="6" s="1"/>
  <c r="F89" i="6"/>
  <c r="K80" i="6"/>
  <c r="L80" i="6" s="1"/>
  <c r="J86" i="6"/>
  <c r="K86" i="6" s="1"/>
  <c r="R48" i="2" l="1"/>
  <c r="P51" i="2"/>
  <c r="D6" i="6"/>
  <c r="S54" i="2"/>
  <c r="B12" i="6"/>
  <c r="G31" i="6"/>
  <c r="E65" i="6"/>
  <c r="J83" i="6"/>
  <c r="J89" i="6" s="1"/>
  <c r="K64" i="6"/>
  <c r="K56" i="6"/>
  <c r="E83" i="6"/>
  <c r="E89" i="6" s="1"/>
  <c r="E57" i="6"/>
  <c r="E6" i="6"/>
  <c r="K88" i="6"/>
  <c r="K82" i="6"/>
  <c r="L82" i="6" s="1"/>
  <c r="C7" i="6" l="1"/>
  <c r="C9" i="6" s="1"/>
  <c r="C12" i="6" s="1"/>
  <c r="K89" i="6"/>
  <c r="K83" i="6"/>
  <c r="K92" i="6" s="1"/>
  <c r="L92" i="6" s="1"/>
  <c r="K57" i="6"/>
  <c r="K65" i="6"/>
  <c r="G112" i="5"/>
  <c r="C112" i="5"/>
  <c r="B112" i="5"/>
  <c r="H110" i="5"/>
  <c r="D110" i="5"/>
  <c r="C110" i="5"/>
  <c r="E94" i="5"/>
  <c r="G101" i="5"/>
  <c r="D109" i="5"/>
  <c r="C109" i="5"/>
  <c r="B109" i="5"/>
  <c r="I108" i="5"/>
  <c r="H108" i="5"/>
  <c r="G100" i="5"/>
  <c r="D108" i="5"/>
  <c r="C108" i="5"/>
  <c r="B100" i="5"/>
  <c r="B72" i="5"/>
  <c r="B71" i="5"/>
  <c r="B70" i="5"/>
  <c r="E43" i="5"/>
  <c r="E7" i="5"/>
  <c r="E7" i="6" l="1"/>
  <c r="D7" i="6"/>
  <c r="E110" i="5"/>
  <c r="K94" i="5"/>
  <c r="K110" i="5" s="1"/>
  <c r="B77" i="5"/>
  <c r="I101" i="5"/>
  <c r="B101" i="5"/>
  <c r="C102" i="5"/>
  <c r="B108" i="5"/>
  <c r="I103" i="5"/>
  <c r="D101" i="5"/>
  <c r="H102" i="5"/>
  <c r="G108" i="5"/>
  <c r="D95" i="5"/>
  <c r="D111" i="5" s="1"/>
  <c r="C100" i="5"/>
  <c r="C104" i="5"/>
  <c r="H100" i="5"/>
  <c r="J110" i="5"/>
  <c r="J102" i="5"/>
  <c r="D7" i="5"/>
  <c r="D43" i="5"/>
  <c r="E92" i="5"/>
  <c r="E108" i="5" s="1"/>
  <c r="J92" i="5"/>
  <c r="B95" i="5"/>
  <c r="E96" i="5"/>
  <c r="K96" i="5" s="1"/>
  <c r="D100" i="5"/>
  <c r="I100" i="5"/>
  <c r="C101" i="5"/>
  <c r="H101" i="5"/>
  <c r="B102" i="5"/>
  <c r="G102" i="5"/>
  <c r="D104" i="5"/>
  <c r="I104" i="5"/>
  <c r="H109" i="5"/>
  <c r="B110" i="5"/>
  <c r="G110" i="5"/>
  <c r="D112" i="5"/>
  <c r="I112" i="5"/>
  <c r="E93" i="5"/>
  <c r="E109" i="5" s="1"/>
  <c r="J93" i="5"/>
  <c r="C95" i="5"/>
  <c r="D102" i="5"/>
  <c r="I102" i="5"/>
  <c r="B104" i="5"/>
  <c r="G104" i="5"/>
  <c r="C19" i="6" l="1"/>
  <c r="D9" i="6"/>
  <c r="E112" i="5"/>
  <c r="E104" i="5"/>
  <c r="C41" i="5"/>
  <c r="D103" i="5"/>
  <c r="E101" i="5"/>
  <c r="E100" i="5"/>
  <c r="G111" i="5"/>
  <c r="G103" i="5"/>
  <c r="K102" i="5"/>
  <c r="E102" i="5"/>
  <c r="E95" i="5"/>
  <c r="E111" i="5" s="1"/>
  <c r="B111" i="5"/>
  <c r="B103" i="5"/>
  <c r="J109" i="5"/>
  <c r="J101" i="5"/>
  <c r="K93" i="5"/>
  <c r="J108" i="5"/>
  <c r="J100" i="5"/>
  <c r="K92" i="5"/>
  <c r="C111" i="5"/>
  <c r="C103" i="5"/>
  <c r="B46" i="2" l="1"/>
  <c r="C44" i="5"/>
  <c r="D44" i="5" s="1"/>
  <c r="E41" i="5"/>
  <c r="D41" i="5"/>
  <c r="C63" i="5"/>
  <c r="C61" i="5"/>
  <c r="E103" i="5"/>
  <c r="K100" i="5"/>
  <c r="K108" i="5"/>
  <c r="K101" i="5"/>
  <c r="K109" i="5"/>
  <c r="K95" i="5"/>
  <c r="D46" i="2" l="1"/>
  <c r="P40" i="2"/>
  <c r="C64" i="5"/>
  <c r="C67" i="5" s="1"/>
  <c r="D61" i="5"/>
  <c r="E61" i="5"/>
  <c r="E4" i="5"/>
  <c r="C5" i="5"/>
  <c r="C8" i="5" s="1"/>
  <c r="E8" i="5" s="1"/>
  <c r="D4" i="5"/>
  <c r="C77" i="5" l="1"/>
  <c r="D8" i="5"/>
  <c r="E5" i="5"/>
  <c r="D5" i="5"/>
  <c r="B35" i="2" l="1"/>
  <c r="T32" i="2" l="1"/>
  <c r="T34" i="2" s="1"/>
  <c r="D35" i="2"/>
  <c r="R32" i="2" l="1"/>
  <c r="P37" i="2" l="1"/>
  <c r="T37" i="2" s="1"/>
  <c r="R49" i="2"/>
  <c r="R34" i="2"/>
  <c r="Q34" i="2"/>
  <c r="Q37" i="2" s="1"/>
  <c r="R37" i="2" l="1"/>
  <c r="Q51" i="2"/>
  <c r="R51" i="2" s="1"/>
  <c r="I6" i="2"/>
  <c r="M9" i="2"/>
  <c r="P9" i="2"/>
  <c r="F9" i="2"/>
  <c r="K6" i="2" l="1"/>
  <c r="I10" i="2"/>
  <c r="I13" i="2" s="1"/>
  <c r="I22" i="2" s="1"/>
  <c r="T9" i="2"/>
  <c r="F7" i="2"/>
  <c r="P7" i="2" l="1"/>
  <c r="R7" i="2" s="1"/>
  <c r="J31" i="2" l="1"/>
  <c r="J33" i="2" s="1"/>
  <c r="J50" i="2" l="1"/>
  <c r="P12" i="2" l="1"/>
  <c r="L6" i="2"/>
  <c r="L10" i="2" l="1"/>
  <c r="L13" i="2" s="1"/>
  <c r="M6" i="2"/>
  <c r="F45" i="2" l="1"/>
  <c r="I42" i="2"/>
  <c r="M42" i="2" l="1"/>
  <c r="K42" i="2"/>
  <c r="F32" i="2"/>
  <c r="P19" i="2" l="1"/>
  <c r="T23" i="2" l="1"/>
  <c r="P57" i="2"/>
  <c r="I41" i="2"/>
  <c r="K41" i="2" s="1"/>
  <c r="T57" i="2" l="1"/>
  <c r="R57" i="2"/>
  <c r="M49" i="2"/>
  <c r="K49" i="2"/>
  <c r="M18" i="2"/>
  <c r="P17" i="2"/>
  <c r="B6" i="2" l="1"/>
  <c r="B10" i="2" s="1"/>
  <c r="T58" i="2"/>
  <c r="I40" i="2"/>
  <c r="M40" i="2" l="1"/>
  <c r="D6" i="2"/>
  <c r="P26" i="2"/>
  <c r="I51" i="2" l="1"/>
  <c r="K50" i="2"/>
  <c r="J48" i="2"/>
  <c r="K48" i="2" s="1"/>
  <c r="E6" i="2"/>
  <c r="F6" i="2" l="1"/>
  <c r="F10" i="2" s="1"/>
  <c r="E10" i="2"/>
  <c r="E37" i="2"/>
  <c r="K19" i="2" l="1"/>
  <c r="O58" i="2"/>
  <c r="F17" i="2"/>
  <c r="Q17" i="2" l="1"/>
  <c r="J40" i="2" s="1"/>
  <c r="Q58" i="2" l="1"/>
  <c r="R58" i="2" s="1"/>
  <c r="K40" i="2"/>
  <c r="K12" i="2" l="1"/>
  <c r="L33" i="2" l="1"/>
  <c r="S17" i="2"/>
  <c r="E40" i="2" l="1"/>
  <c r="E47" i="2" s="1"/>
  <c r="T17" i="2"/>
  <c r="R17" i="2"/>
  <c r="F44" i="2"/>
  <c r="F12" i="2"/>
  <c r="Q53" i="2"/>
  <c r="Q54" i="2" s="1"/>
  <c r="M12" i="2"/>
  <c r="F39" i="2"/>
  <c r="F35" i="2"/>
  <c r="S42" i="2" l="1"/>
  <c r="S43" i="2" s="1"/>
  <c r="E49" i="2"/>
  <c r="Q59" i="2"/>
  <c r="J44" i="2"/>
  <c r="Q40" i="2"/>
  <c r="R40" i="2" s="1"/>
  <c r="T53" i="2"/>
  <c r="D39" i="2"/>
  <c r="M41" i="2"/>
  <c r="L35" i="2" l="1"/>
  <c r="L37" i="2" s="1"/>
  <c r="R53" i="2"/>
  <c r="T12" i="2"/>
  <c r="Q12" i="2"/>
  <c r="J35" i="2" l="1"/>
  <c r="K35" i="2" s="1"/>
  <c r="Q13" i="2"/>
  <c r="R12" i="2"/>
  <c r="I35" i="2"/>
  <c r="M35" i="2" s="1"/>
  <c r="M19" i="2" l="1"/>
  <c r="T25" i="2"/>
  <c r="M50" i="2" l="1"/>
  <c r="D34" i="2" l="1"/>
  <c r="M47" i="2" l="1"/>
  <c r="E13" i="2" l="1"/>
  <c r="E19" i="2" s="1"/>
  <c r="T49" i="2"/>
  <c r="S59" i="2" l="1"/>
  <c r="S60" i="2"/>
  <c r="S18" i="2"/>
  <c r="L44" i="2" s="1"/>
  <c r="E20" i="2"/>
  <c r="S13" i="2"/>
  <c r="B13" i="2"/>
  <c r="D13" i="2" s="1"/>
  <c r="M7" i="2"/>
  <c r="S61" i="2" l="1"/>
  <c r="F19" i="2"/>
  <c r="S19" i="2"/>
  <c r="F13" i="2"/>
  <c r="B20" i="2"/>
  <c r="D20" i="2" s="1"/>
  <c r="I32" i="2"/>
  <c r="K32" i="2" s="1"/>
  <c r="T7" i="2"/>
  <c r="P6" i="2"/>
  <c r="P10" i="2" s="1"/>
  <c r="M4" i="2"/>
  <c r="M10" i="2" s="1"/>
  <c r="M13" i="2" s="1"/>
  <c r="K13" i="2"/>
  <c r="S20" i="2" l="1"/>
  <c r="L45" i="2"/>
  <c r="L46" i="2" s="1"/>
  <c r="T19" i="2"/>
  <c r="R6" i="2"/>
  <c r="L48" i="2"/>
  <c r="M48" i="2" s="1"/>
  <c r="M51" i="2" s="1"/>
  <c r="M20" i="2"/>
  <c r="T22" i="2"/>
  <c r="S26" i="2"/>
  <c r="T26" i="2" s="1"/>
  <c r="M17" i="2"/>
  <c r="T6" i="2"/>
  <c r="B18" i="2"/>
  <c r="F20" i="2"/>
  <c r="M32" i="2"/>
  <c r="T4" i="2"/>
  <c r="L51" i="2" l="1"/>
  <c r="L52" i="2" s="1"/>
  <c r="P59" i="2"/>
  <c r="R59" i="2" s="1"/>
  <c r="D18" i="2"/>
  <c r="S27" i="2"/>
  <c r="P13" i="2"/>
  <c r="R13" i="2" s="1"/>
  <c r="T10" i="2"/>
  <c r="P18" i="2"/>
  <c r="F18" i="2"/>
  <c r="R18" i="2" l="1"/>
  <c r="I44" i="2"/>
  <c r="K44" i="2" s="1"/>
  <c r="T13" i="2"/>
  <c r="T18" i="2"/>
  <c r="P20" i="2"/>
  <c r="P27" i="2" s="1"/>
  <c r="P28" i="2" s="1"/>
  <c r="T20" i="2" l="1"/>
  <c r="T27" i="2"/>
  <c r="J37" i="2" l="1"/>
  <c r="C49" i="2" l="1"/>
  <c r="Q42" i="2" l="1"/>
  <c r="Q43" i="2" l="1"/>
  <c r="D10" i="2"/>
  <c r="J45" i="2" l="1"/>
  <c r="Q60" i="2"/>
  <c r="Q19" i="2"/>
  <c r="R19" i="2" s="1"/>
  <c r="K10" i="2"/>
  <c r="J46" i="2" l="1"/>
  <c r="Q20" i="2"/>
  <c r="R10" i="2"/>
  <c r="R20" i="2" l="1"/>
  <c r="J47" i="2"/>
  <c r="K20" i="2"/>
  <c r="J51" i="2" l="1"/>
  <c r="K47" i="2"/>
  <c r="Q61" i="2"/>
  <c r="Q26" i="2"/>
  <c r="Q27" i="2" s="1"/>
  <c r="R26" i="2"/>
  <c r="J52" i="2" l="1"/>
  <c r="K51" i="2"/>
  <c r="R27" i="2"/>
  <c r="I31" i="2" l="1"/>
  <c r="K31" i="2" s="1"/>
  <c r="K33" i="2" s="1"/>
  <c r="B34" i="2"/>
  <c r="B37" i="2" s="1"/>
  <c r="B40" i="2" s="1"/>
  <c r="F40" i="2" s="1"/>
  <c r="F34" i="2" l="1"/>
  <c r="F37" i="2" s="1"/>
  <c r="I33" i="2"/>
  <c r="I37" i="2" s="1"/>
  <c r="M31" i="2"/>
  <c r="M33" i="2" s="1"/>
  <c r="P54" i="2"/>
  <c r="R54" i="2" s="1"/>
  <c r="T48" i="2"/>
  <c r="T51" i="2" s="1"/>
  <c r="M37" i="2" l="1"/>
  <c r="K37" i="2"/>
  <c r="D40" i="2"/>
  <c r="D37" i="2"/>
  <c r="T40" i="2"/>
  <c r="T54" i="2" l="1"/>
  <c r="T59" i="2"/>
  <c r="M44" i="2"/>
  <c r="F46" i="2"/>
  <c r="F47" i="2" l="1"/>
  <c r="P42" i="2"/>
  <c r="I45" i="2"/>
  <c r="M45" i="2" s="1"/>
  <c r="B49" i="2"/>
  <c r="F49" i="2" s="1"/>
  <c r="D47" i="2"/>
  <c r="D49" i="2" s="1"/>
  <c r="P60" i="2" l="1"/>
  <c r="T42" i="2"/>
  <c r="T43" i="2" s="1"/>
  <c r="R42" i="2"/>
  <c r="R43" i="2" s="1"/>
  <c r="P43" i="2"/>
  <c r="P44" i="2" s="1"/>
  <c r="I46" i="2"/>
  <c r="M46" i="2" s="1"/>
  <c r="K45" i="2"/>
  <c r="T60" i="2" l="1"/>
  <c r="T61" i="2" s="1"/>
  <c r="R60" i="2"/>
  <c r="R61" i="2" s="1"/>
  <c r="P61" i="2"/>
  <c r="P63" i="2" s="1"/>
  <c r="K46" i="2"/>
  <c r="I52" i="2"/>
  <c r="I53" i="2" s="1"/>
  <c r="M52" i="2" l="1"/>
  <c r="K52" i="2"/>
  <c r="H111" i="5"/>
  <c r="H103" i="5"/>
  <c r="H112" i="5"/>
  <c r="J87" i="5"/>
  <c r="J103" i="5" s="1"/>
  <c r="K87" i="5" l="1"/>
  <c r="H104" i="5"/>
  <c r="J111" i="5"/>
  <c r="J88" i="5"/>
  <c r="J104" i="5" l="1"/>
  <c r="K88" i="5"/>
  <c r="J112" i="5"/>
  <c r="K111" i="5"/>
  <c r="K103" i="5"/>
  <c r="K104" i="5" l="1"/>
  <c r="B63" i="5"/>
  <c r="K112" i="5"/>
  <c r="D63" i="5" l="1"/>
  <c r="E63" i="5"/>
  <c r="B64" i="5"/>
  <c r="B67" i="5" l="1"/>
  <c r="D64" i="5"/>
</calcChain>
</file>

<file path=xl/sharedStrings.xml><?xml version="1.0" encoding="utf-8"?>
<sst xmlns="http://schemas.openxmlformats.org/spreadsheetml/2006/main" count="1155" uniqueCount="504">
  <si>
    <t xml:space="preserve">Expense </t>
  </si>
  <si>
    <t>Net Income/(Expense)</t>
  </si>
  <si>
    <t>Ending Balance Components</t>
  </si>
  <si>
    <t xml:space="preserve">Income </t>
  </si>
  <si>
    <t>Undesignated Reserve</t>
  </si>
  <si>
    <t>Board Operational Reserve</t>
  </si>
  <si>
    <t>LWVCEF UNRESTRICTED</t>
  </si>
  <si>
    <t>Difference YTD Actuals vs Budget</t>
  </si>
  <si>
    <t>Total Reserve</t>
  </si>
  <si>
    <t>LWVCEF RESTRICTED</t>
  </si>
  <si>
    <t>COMBINED LWVCEF</t>
  </si>
  <si>
    <t>LWVC</t>
  </si>
  <si>
    <t>Total UNRESTRICTED Reserve</t>
  </si>
  <si>
    <t>Total Unrestricted Reserve</t>
  </si>
  <si>
    <t>COMBINED LWVCEF - LWVC</t>
  </si>
  <si>
    <t>RESTRICTED : Voters Edge</t>
  </si>
  <si>
    <t>Total Temporarily Restricted</t>
  </si>
  <si>
    <t>Unrestricted LWVC/LWVCEF</t>
  </si>
  <si>
    <t>Year End Projection</t>
  </si>
  <si>
    <t>Diff Projection Vs Budget</t>
  </si>
  <si>
    <t>Trudy Schafer Fellowship</t>
  </si>
  <si>
    <t>Strategic Initiative Fund</t>
  </si>
  <si>
    <t>Strategic Initiative</t>
  </si>
  <si>
    <t>Make It Fair</t>
  </si>
  <si>
    <t>Net Assets Beg Balance</t>
  </si>
  <si>
    <t>Net Assets Proj Ending Balance</t>
  </si>
  <si>
    <t>Current Budget</t>
  </si>
  <si>
    <t>Operational Income</t>
  </si>
  <si>
    <t>Building Reserves</t>
  </si>
  <si>
    <t>Restricted Income</t>
  </si>
  <si>
    <t>Total Unrestricted/Restricted</t>
  </si>
  <si>
    <t>Total  Reserve</t>
  </si>
  <si>
    <t>Total Income</t>
  </si>
  <si>
    <t>Budget</t>
  </si>
  <si>
    <t>Membership</t>
  </si>
  <si>
    <t>Contributions</t>
  </si>
  <si>
    <t>LEW/MyLO</t>
  </si>
  <si>
    <t>Other Earned Revenue</t>
  </si>
  <si>
    <t>Transfer Out</t>
  </si>
  <si>
    <t>Transfer In</t>
  </si>
  <si>
    <t>Transfers In/Out</t>
  </si>
  <si>
    <t>K AND L</t>
  </si>
  <si>
    <t>Unrestricted</t>
  </si>
  <si>
    <t>Actuals</t>
  </si>
  <si>
    <t>Difference</t>
  </si>
  <si>
    <t>Actual % of Budget</t>
  </si>
  <si>
    <t>Total Expense Unrestricted</t>
  </si>
  <si>
    <t>Unrestricted Ending Balance Components</t>
  </si>
  <si>
    <t>Designated</t>
  </si>
  <si>
    <t>Unrestricted Total</t>
  </si>
  <si>
    <t>Revenue</t>
  </si>
  <si>
    <t>Ind. Unrestr Contribution</t>
  </si>
  <si>
    <t>Other Contributions</t>
  </si>
  <si>
    <t>Voter Edge Earned</t>
  </si>
  <si>
    <t>Miscellaneous</t>
  </si>
  <si>
    <t>Subtotal Unrestricted</t>
  </si>
  <si>
    <t xml:space="preserve">Local League  Restr </t>
  </si>
  <si>
    <t>Ind. Restr Contribution</t>
  </si>
  <si>
    <t>Grants</t>
  </si>
  <si>
    <t>Subtotal Restricted</t>
  </si>
  <si>
    <t>Total</t>
  </si>
  <si>
    <t>Restricted</t>
  </si>
  <si>
    <t>Income Restricted</t>
  </si>
  <si>
    <t>Expense Restricted</t>
  </si>
  <si>
    <t>Budgeted Ending Balance</t>
  </si>
  <si>
    <t>Voters Edge</t>
  </si>
  <si>
    <t>Temporary Restricted</t>
  </si>
  <si>
    <t>LWVCEF  Combined</t>
  </si>
  <si>
    <t>Expense</t>
  </si>
  <si>
    <t>Components of Ending Balance</t>
  </si>
  <si>
    <t>Operating Reserve</t>
  </si>
  <si>
    <t>Board Designated</t>
  </si>
  <si>
    <t>Expense Budget</t>
  </si>
  <si>
    <t>Supporting Activities</t>
  </si>
  <si>
    <t>Program Activities</t>
  </si>
  <si>
    <t>Board</t>
  </si>
  <si>
    <t>Management</t>
  </si>
  <si>
    <t>Fundraising</t>
  </si>
  <si>
    <t>Supporting Subtotal</t>
  </si>
  <si>
    <t>Community Education</t>
  </si>
  <si>
    <t>Voters Education</t>
  </si>
  <si>
    <t>EVG</t>
  </si>
  <si>
    <t>Program Subtotal</t>
  </si>
  <si>
    <t>Total Expenses</t>
  </si>
  <si>
    <t>Salaries and Benefits</t>
  </si>
  <si>
    <t>Travel</t>
  </si>
  <si>
    <t>Services and Professional Fees</t>
  </si>
  <si>
    <t>Office and Occupancy</t>
  </si>
  <si>
    <t>Total Budget Expenses</t>
  </si>
  <si>
    <t>Total Actual Expenses</t>
  </si>
  <si>
    <t>Total Budget Differences</t>
  </si>
  <si>
    <t>na</t>
  </si>
  <si>
    <t xml:space="preserve">Total % </t>
  </si>
  <si>
    <t>LWVUS Council Travel Estimate</t>
  </si>
  <si>
    <t>Office and Occupancy added $5000 expense to cost out Amazon servers</t>
  </si>
  <si>
    <t>Convention expenses as shown in prepaid expense</t>
  </si>
  <si>
    <t>Insurance savings is $13,000 which also reduces revenue</t>
  </si>
  <si>
    <t>Most expenses are projected to be 11/12 (92%) spent for the year. Exceptions are noted</t>
  </si>
  <si>
    <t>Expense Projection assumptions</t>
  </si>
  <si>
    <t>Total Projected Expenses</t>
  </si>
  <si>
    <t>Total Difference</t>
  </si>
  <si>
    <t>Difference Budget/Projection</t>
  </si>
  <si>
    <t>Proj % of Budget</t>
  </si>
  <si>
    <t>Advocacy</t>
  </si>
  <si>
    <t>LEW</t>
  </si>
  <si>
    <t>Convention</t>
  </si>
  <si>
    <t>Member Services</t>
  </si>
  <si>
    <t>Total Revenues</t>
  </si>
  <si>
    <t>Earned Revenues</t>
  </si>
  <si>
    <t>Restricted (Make It Fair, Trudy)</t>
  </si>
  <si>
    <t>Difference Budget vs Projection</t>
  </si>
  <si>
    <t>Actuals % of Budget</t>
  </si>
  <si>
    <t>Revenue Budget, Actuals</t>
  </si>
  <si>
    <t xml:space="preserve">    Undesignated Reserve</t>
  </si>
  <si>
    <t>Designated Reserve</t>
  </si>
  <si>
    <t xml:space="preserve">Board Operational Reserve </t>
  </si>
  <si>
    <t>Total Expense</t>
  </si>
  <si>
    <t xml:space="preserve">Difference </t>
  </si>
  <si>
    <t>.</t>
  </si>
  <si>
    <t>2B and 2C</t>
  </si>
  <si>
    <t xml:space="preserve"> </t>
  </si>
  <si>
    <t>1000.1 Board</t>
  </si>
  <si>
    <t>1000 Management - Other</t>
  </si>
  <si>
    <t>Total 3001 Member Services</t>
  </si>
  <si>
    <t>3004 Conventions</t>
  </si>
  <si>
    <t>Total 3005 Local Leagues</t>
  </si>
  <si>
    <t>3006.1 LEW</t>
  </si>
  <si>
    <t>3006.2 MyLO</t>
  </si>
  <si>
    <t>Total 3006 LEW*</t>
  </si>
  <si>
    <t>3007 Advocacy - Other</t>
  </si>
  <si>
    <t>Total 3007 Advocacy</t>
  </si>
  <si>
    <t>9001 APP</t>
  </si>
  <si>
    <t>9002 IPP</t>
  </si>
  <si>
    <t>9003 OCC</t>
  </si>
  <si>
    <t>(1000 Management)</t>
  </si>
  <si>
    <t>Total 1000 Management</t>
  </si>
  <si>
    <t>Total 2000 Development</t>
  </si>
  <si>
    <t>(3001 Member Services)</t>
  </si>
  <si>
    <t>(3000 Programs)</t>
  </si>
  <si>
    <t>(3006 LEW*)</t>
  </si>
  <si>
    <t>(3007 Advocacy)</t>
  </si>
  <si>
    <t>Total 3000 Programs</t>
  </si>
  <si>
    <t>(9000 To Be Split)</t>
  </si>
  <si>
    <t>Total 9000 To Be Split</t>
  </si>
  <si>
    <t>Total unclassified</t>
  </si>
  <si>
    <t>TOTAL</t>
  </si>
  <si>
    <t>Ordinary Income/Expense</t>
  </si>
  <si>
    <t>Income</t>
  </si>
  <si>
    <t>40010 · Membership Dues</t>
  </si>
  <si>
    <t>40010.1 · PMP dues</t>
  </si>
  <si>
    <t>40010.2 · Payments in lieu of PMPs</t>
  </si>
  <si>
    <t>40010.3 · MAL Dues</t>
  </si>
  <si>
    <t>Total 40010 · Membership Dues</t>
  </si>
  <si>
    <t>40015 · Contributions</t>
  </si>
  <si>
    <t>40030 · Contributions - Unrestricted</t>
  </si>
  <si>
    <t>40031 · Contributions - Restricted</t>
  </si>
  <si>
    <t>40035 · In Kind Contributions</t>
  </si>
  <si>
    <t>40070 · Grant Income - Unrestricted</t>
  </si>
  <si>
    <t>40085 · Building Reserves</t>
  </si>
  <si>
    <t>Total 40015 · Contributions</t>
  </si>
  <si>
    <t>40100 · Earned Revenues</t>
  </si>
  <si>
    <t>40101 · Publications</t>
  </si>
  <si>
    <t>40110 · Merchandise</t>
  </si>
  <si>
    <t>40115 · Shipping Postage</t>
  </si>
  <si>
    <t>40120 · Liability Insurance</t>
  </si>
  <si>
    <t>40140 · Council/Convention</t>
  </si>
  <si>
    <t>40150 · Contract Services</t>
  </si>
  <si>
    <t>40150.2 · LEW Contracts</t>
  </si>
  <si>
    <t>40150.4 · MyLO Contracts</t>
  </si>
  <si>
    <t>40150.5 · MyLO Migration</t>
  </si>
  <si>
    <t>Total 40150 · Contract Services</t>
  </si>
  <si>
    <t>Total 40100 · Earned Revenues</t>
  </si>
  <si>
    <t>40160 · Rental Income</t>
  </si>
  <si>
    <t>40170 · Interest</t>
  </si>
  <si>
    <t>40200 · Miscellaneous Income -</t>
  </si>
  <si>
    <t>Cost of Goods Sold</t>
  </si>
  <si>
    <t>50000 · Cost of Goods Sold</t>
  </si>
  <si>
    <t>Total COGS</t>
  </si>
  <si>
    <t>Gross Profit</t>
  </si>
  <si>
    <t>60010 · Personnel</t>
  </si>
  <si>
    <t>60020 · Accounting Fees</t>
  </si>
  <si>
    <t>60021 · Bank Charges/Fees</t>
  </si>
  <si>
    <t>60030 · Legal Fees</t>
  </si>
  <si>
    <t>60040 · Supplies</t>
  </si>
  <si>
    <t>60050 · Telecommunications</t>
  </si>
  <si>
    <t>60060 · Postage/Shipping</t>
  </si>
  <si>
    <t>60070 · Occupancy</t>
  </si>
  <si>
    <t>60080 · Equipment rental &amp; maintenance</t>
  </si>
  <si>
    <t>60090 · Printing and publications</t>
  </si>
  <si>
    <t>60100 · Travel/Food/Lodging</t>
  </si>
  <si>
    <t>60110 · Promotion</t>
  </si>
  <si>
    <t>60120 · Councils/Conventions</t>
  </si>
  <si>
    <t>60140 · Insurance</t>
  </si>
  <si>
    <t>60150 · LWVUS MAL Dues</t>
  </si>
  <si>
    <t>60160 · Fees, subscriptions</t>
  </si>
  <si>
    <t>60170 · Independent Contractors</t>
  </si>
  <si>
    <t>Net Ordinary Income</t>
  </si>
  <si>
    <t>Net Income</t>
  </si>
  <si>
    <t>Grant Income</t>
  </si>
  <si>
    <t>40010 · Local League Support-Unrestrict</t>
  </si>
  <si>
    <t>40010.2 · Payments in lieu of PMP</t>
  </si>
  <si>
    <t>Total 40010 · Local League Support-Unrestrict</t>
  </si>
  <si>
    <t>40011 · Local League Support-Restricted</t>
  </si>
  <si>
    <t>40030 · Indiv. Contrib. - Unrestricted</t>
  </si>
  <si>
    <t>40031 · Indiv. Contributions-Restricted</t>
  </si>
  <si>
    <t>40051 · Corporations - Restricted</t>
  </si>
  <si>
    <t>40071 · Grant Income - Restricted</t>
  </si>
  <si>
    <t>4010 · Earned Revenue</t>
  </si>
  <si>
    <t>40100 · Publications</t>
  </si>
  <si>
    <t>40160 · Contract Services</t>
  </si>
  <si>
    <t>Total 4010 · Earned Revenue</t>
  </si>
  <si>
    <t>40165 · Rental Income</t>
  </si>
  <si>
    <t>40200 · Miscellaneous Income</t>
  </si>
  <si>
    <t>60020 · Accounting Services</t>
  </si>
  <si>
    <t>60021 · Legal Fees</t>
  </si>
  <si>
    <t>60022 · Bank Charges/Fees</t>
  </si>
  <si>
    <t>60030 · Promotion</t>
  </si>
  <si>
    <t>60090 · Printing &amp; publications</t>
  </si>
  <si>
    <t>60100 · Travel,meals, lodging</t>
  </si>
  <si>
    <t>+</t>
  </si>
  <si>
    <t>Temporarilty Restricted</t>
  </si>
  <si>
    <t>40010 · Local League Support-Unrestrict - Other</t>
  </si>
  <si>
    <t>40012 · Local League Support - Unrestri</t>
  </si>
  <si>
    <t>40080 · Planned Giving - Unrestricted</t>
  </si>
  <si>
    <t>5500 · Realized Gain/Loss on Stock</t>
  </si>
  <si>
    <t>5550 · Unrealized Gain/Loss on Stock</t>
  </si>
  <si>
    <t>40200 · Miscellaneous Income - Other</t>
  </si>
  <si>
    <t>Total 40200 · Miscellaneous Income</t>
  </si>
  <si>
    <t>Net assets released from restrictions</t>
  </si>
  <si>
    <t>Restriction satisfied by payments</t>
  </si>
  <si>
    <t>Total Revenue, gains, and other support</t>
  </si>
  <si>
    <t>60019 · Fiscal Mgmt., Audit, &amp; Tax Prep</t>
  </si>
  <si>
    <t>61090 · Professional Development</t>
  </si>
  <si>
    <t>Change in Net assets</t>
  </si>
  <si>
    <t>Net assets at beginning of year</t>
  </si>
  <si>
    <t>Net assets at end of year</t>
  </si>
  <si>
    <t>Redistricting</t>
  </si>
  <si>
    <t>Actual</t>
  </si>
  <si>
    <t>Planned</t>
  </si>
  <si>
    <t>LWVCEF 2018/19 Budget Beg Balances versus Actual Beg Balances Sources</t>
  </si>
  <si>
    <t>Unrestricted LWVC</t>
  </si>
  <si>
    <t>Total 3001 Community Education</t>
  </si>
  <si>
    <t>3012.5 PLP - EVG 17-18</t>
  </si>
  <si>
    <t>Total 3012 PLP</t>
  </si>
  <si>
    <t>3013 VCA</t>
  </si>
  <si>
    <t>3010 Voter Service - Other</t>
  </si>
  <si>
    <t>Total 3010 Voter Service</t>
  </si>
  <si>
    <t>3030.2 VEC - Irvine Grant 17-19</t>
  </si>
  <si>
    <t>3030 Voters Edge - Other</t>
  </si>
  <si>
    <t>Total 3030 Voters Edge</t>
  </si>
  <si>
    <t>(3001 Community Education)</t>
  </si>
  <si>
    <t>(3012 PLP)</t>
  </si>
  <si>
    <t>(3010 Voter Service)</t>
  </si>
  <si>
    <t>(3030 Voters Edge)</t>
  </si>
  <si>
    <t>61080 · Mini- Grants disbursed</t>
  </si>
  <si>
    <t>Transfers Out</t>
  </si>
  <si>
    <t>Transfers In</t>
  </si>
  <si>
    <t>ASSETS</t>
  </si>
  <si>
    <t>Current Assets</t>
  </si>
  <si>
    <t>Checking/Savings</t>
  </si>
  <si>
    <t>1000 · Cash</t>
  </si>
  <si>
    <t>1005 · WFB Checking (GF)</t>
  </si>
  <si>
    <t>1015 · WF Brokerage Account</t>
  </si>
  <si>
    <t>Total 1000 · Cash</t>
  </si>
  <si>
    <t>Total Checking/Savings</t>
  </si>
  <si>
    <t>Accounts Receivable</t>
  </si>
  <si>
    <t>1200 · Accounts Receivable</t>
  </si>
  <si>
    <t>Total Accounts Receivable</t>
  </si>
  <si>
    <t>Other Current Assets</t>
  </si>
  <si>
    <t>1120 · Inventory Asset</t>
  </si>
  <si>
    <t>1500 · Other Receivable - C3</t>
  </si>
  <si>
    <t>1500.1 · Other Receivable - C3  Payroll</t>
  </si>
  <si>
    <t>1500 · Other Receivable - C3 - Other</t>
  </si>
  <si>
    <t>Total 1500 · Other Receivable - C3</t>
  </si>
  <si>
    <t>1515 · Prepaid Insurance</t>
  </si>
  <si>
    <t>1520 · Prepaid Expenses - Other</t>
  </si>
  <si>
    <t>Total Other Current Assets</t>
  </si>
  <si>
    <t>Total Current Assets</t>
  </si>
  <si>
    <t>Fixed Assets</t>
  </si>
  <si>
    <t>1409 · Furniture &amp; Fixtures</t>
  </si>
  <si>
    <t>1410 · Equipment &amp; Software</t>
  </si>
  <si>
    <t>1490 · Accumulated depreciation</t>
  </si>
  <si>
    <t>Total Fixed Assets</t>
  </si>
  <si>
    <t>Other Assets</t>
  </si>
  <si>
    <t>1800 · Office Deposit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</si>
  <si>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</si>
  <si>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</si>
  <si>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</si>
  <si>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</si>
  <si>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</si>
  <si>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</si>
  <si>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</si>
  <si>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</si>
  <si>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</si>
  <si>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2001 · Credit Cards</t>
  </si>
  <si>
    <t>Total Credit Cards</t>
  </si>
  <si>
    <t>Other Current Liabilities</t>
  </si>
  <si>
    <t>2015 · Due to MAL/MAS</t>
  </si>
  <si>
    <t>2015.1 · Mother Lode MAS</t>
  </si>
  <si>
    <t>Total 2015 · Due to MAL/MAS</t>
  </si>
  <si>
    <t>2100 · Payroll Liabilities</t>
  </si>
  <si>
    <t>2105 · Pension Liability</t>
  </si>
  <si>
    <t>2150 · Healthcare Withheld</t>
  </si>
  <si>
    <t>2200 · Sales Tax Payable</t>
  </si>
  <si>
    <t>2300 · Accrued Liabilities</t>
  </si>
  <si>
    <t>Total Other Current Liabilities</t>
  </si>
  <si>
    <t>Total Current Liabilities</t>
  </si>
  <si>
    <t>Long Term Liabilities</t>
  </si>
  <si>
    <t>2501 · Deferred Rent</t>
  </si>
  <si>
    <t>Total Long Term Liabilities</t>
  </si>
  <si>
    <t>Total Liabilities</t>
  </si>
  <si>
    <t>Equity</t>
  </si>
  <si>
    <t>3700 · Unrestricted Net  Assets</t>
  </si>
  <si>
    <t>3700.1 · Board Designated Net Assets</t>
  </si>
  <si>
    <t>3701 · Building Reserves</t>
  </si>
  <si>
    <t>3702 · Operational Reserves</t>
  </si>
  <si>
    <t>3703 · Trudy Schafer Fellowship</t>
  </si>
  <si>
    <t>3704 · Schools &amp; Communities First</t>
  </si>
  <si>
    <t>Total 3700.1 · Board Designated Net Assets</t>
  </si>
  <si>
    <t>3800 · Temporarily Restricted Assets</t>
  </si>
  <si>
    <t>3800.1 · Redistricting Project</t>
  </si>
  <si>
    <t>Total 3800 · Temporarily Restricted Assets</t>
  </si>
  <si>
    <t>Total Equity</t>
  </si>
  <si>
    <t>TOTAL LIABILITIES &amp; EQUITY</t>
  </si>
  <si>
    <t>1115 · WFB Money Market</t>
  </si>
  <si>
    <t>1117 · SAFE Credit Union</t>
  </si>
  <si>
    <t>1119 · Wells Fargo Brokerage Account</t>
  </si>
  <si>
    <t>1800 · Prepaid Expenses</t>
  </si>
  <si>
    <t>1490 · Accumulated Depreciation</t>
  </si>
  <si>
    <t>2002 · Other Current Liabilities -  C4</t>
  </si>
  <si>
    <t>2002.1 · Other Current Liab. C4-Payroll</t>
  </si>
  <si>
    <t>2002 · Other Current Liabilities -  C4 - Other</t>
  </si>
  <si>
    <t>Total 2002 · Other Current Liabilities -  C4</t>
  </si>
  <si>
    <t>2005 · Due to Local Leagues</t>
  </si>
  <si>
    <t>2011 · Kern County CA001</t>
  </si>
  <si>
    <t>2017 · Central Orange County Area</t>
  </si>
  <si>
    <t>2019 · Claremont</t>
  </si>
  <si>
    <t>2020 · Cupertino, Sunnyvale</t>
  </si>
  <si>
    <t>2026 · East San Gabriel Valley</t>
  </si>
  <si>
    <t>2027 · Eden Area</t>
  </si>
  <si>
    <t>2028 · El Dorado County</t>
  </si>
  <si>
    <t>2034 · Livermore, Amador Valley</t>
  </si>
  <si>
    <t>2040 · Mendocino County</t>
  </si>
  <si>
    <t>2041 · Merced</t>
  </si>
  <si>
    <t>2043 · Monterey County</t>
  </si>
  <si>
    <t>2045 · North Orange County</t>
  </si>
  <si>
    <t>2047 · Riverside County</t>
  </si>
  <si>
    <t>2048 · Oakland</t>
  </si>
  <si>
    <t>2048.2 · County of Alameda Contract</t>
  </si>
  <si>
    <t>2048 · Oakland - Other</t>
  </si>
  <si>
    <t>Total 2048 · Oakland</t>
  </si>
  <si>
    <t>2049 · Orange Coast</t>
  </si>
  <si>
    <t>2050 · Palo Alto</t>
  </si>
  <si>
    <t>2056 · West Contra Costa County</t>
  </si>
  <si>
    <t>2060 · San Diego (city)</t>
  </si>
  <si>
    <t>2067 · Santa Maria Valley</t>
  </si>
  <si>
    <t>2068 · Santa Monica</t>
  </si>
  <si>
    <t>2071 · South San Mateo County</t>
  </si>
  <si>
    <t>2077 · Western Nevada County</t>
  </si>
  <si>
    <t>2078 · Whittier</t>
  </si>
  <si>
    <t>2082 · Plumas MAL</t>
  </si>
  <si>
    <t>2085 · Orange County ILO</t>
  </si>
  <si>
    <t>Total 2005 · Due to Local Leagues</t>
  </si>
  <si>
    <t>2201 · Sales Tax Payable</t>
  </si>
  <si>
    <t>2400 · Payroll Liabilities</t>
  </si>
  <si>
    <t>3720 · Board Designated Assets</t>
  </si>
  <si>
    <t>3721 · Strategic Initiative</t>
  </si>
  <si>
    <t>3723 · Building Reserves</t>
  </si>
  <si>
    <t>Total 3720 · Board Designated Assets</t>
  </si>
  <si>
    <t>3800 · Temp.  Restricted Net  Assets</t>
  </si>
  <si>
    <t>3800.06 · Voters Edge</t>
  </si>
  <si>
    <t>3842 · James Irvine Foundation 17-19</t>
  </si>
  <si>
    <t>3842.01 · Community Education</t>
  </si>
  <si>
    <t>3842.02 · Voters Edge</t>
  </si>
  <si>
    <t>3842.03 · FoCE</t>
  </si>
  <si>
    <t>Total 3842 · James Irvine Foundation 17-19</t>
  </si>
  <si>
    <t>Total 3800 · Temp.  Restricted Net  Assets</t>
  </si>
  <si>
    <t>2092 · Mother Lode MAS</t>
  </si>
  <si>
    <t>1211 · Other Receivable</t>
  </si>
  <si>
    <t>1499 · Undeposited Funds</t>
  </si>
  <si>
    <t>40130 · Workshops</t>
  </si>
  <si>
    <t>60180 · Mini-Grants</t>
  </si>
  <si>
    <t>2007 · Wells Fargo</t>
  </si>
  <si>
    <t>2007.7 · Wells Fargo Melissa Breach-7381</t>
  </si>
  <si>
    <t>Total 2007 · Wells Fargo</t>
  </si>
  <si>
    <t>Total 2001 · Credit Cards</t>
  </si>
  <si>
    <t>2100.1 · Garnishment</t>
  </si>
  <si>
    <t>2100 · Payroll Liabilities - Other</t>
  </si>
  <si>
    <t>Total 2100 · Payroll Liabilities</t>
  </si>
  <si>
    <t>1205 · Other Receivable</t>
  </si>
  <si>
    <t>1210 · Grants Receivable</t>
  </si>
  <si>
    <t>2059 · San Bernardino CA045</t>
  </si>
  <si>
    <t>2009 · Benicia CA099</t>
  </si>
  <si>
    <t>2015 · Butte County</t>
  </si>
  <si>
    <t>2042 · Stanislaus County</t>
  </si>
  <si>
    <t>2066 · Santa Cruz CA080</t>
  </si>
  <si>
    <t>2073 · Southwest Santa Clara Valley</t>
  </si>
  <si>
    <t>Dec 31, 18</t>
  </si>
  <si>
    <t>RESTRICTED:  SVCF</t>
  </si>
  <si>
    <t>Dec 18</t>
  </si>
  <si>
    <t>Jan 19</t>
  </si>
  <si>
    <t>Jan 31, 19</t>
  </si>
  <si>
    <t>SVCF</t>
  </si>
  <si>
    <t>3010 Schools &amp; Communities 1st</t>
  </si>
  <si>
    <t>Feb 19</t>
  </si>
  <si>
    <t>Feb 28, 19</t>
  </si>
  <si>
    <t>Mar 31, 19</t>
  </si>
  <si>
    <t>Apr 30, 19</t>
  </si>
  <si>
    <t>3839 · CIVFR</t>
  </si>
  <si>
    <t>1016 · Live Oak Bank</t>
  </si>
  <si>
    <t>Mar 19</t>
  </si>
  <si>
    <t>Apr 19</t>
  </si>
  <si>
    <t>3001.8 CIVFR</t>
  </si>
  <si>
    <t>May 31, 19</t>
  </si>
  <si>
    <t>May 19</t>
  </si>
  <si>
    <t>3001 Community Education - Other</t>
  </si>
  <si>
    <t>RESTRICTED: SCVF</t>
  </si>
  <si>
    <t>Jun 30, 19</t>
  </si>
  <si>
    <t>3844 · Redistricting</t>
  </si>
  <si>
    <t>Jun 19</t>
  </si>
  <si>
    <t>RESTRICTED: Redistricting</t>
  </si>
  <si>
    <t>Diff Actuals vs Projection</t>
  </si>
  <si>
    <t>Difference Actuals vs Budget</t>
  </si>
  <si>
    <t>40010 · Membership Dues - Other</t>
  </si>
  <si>
    <t>Other Income/Expense</t>
  </si>
  <si>
    <t>LWVC Contribution</t>
  </si>
  <si>
    <t>Contribution LWVCEF</t>
  </si>
  <si>
    <t>Contribution to LWVCEF</t>
  </si>
  <si>
    <t>Contributionto LWVCEF</t>
  </si>
  <si>
    <t>RESTRICTED: Easy Voter (PLP)</t>
  </si>
  <si>
    <t>August Year End Projection</t>
  </si>
  <si>
    <t>2019/20 Unrestr Beg Balance</t>
  </si>
  <si>
    <t>2019/20  Unrestr Ending Balance</t>
  </si>
  <si>
    <t>Jul 31, 19</t>
  </si>
  <si>
    <t>Aug 31, 19</t>
  </si>
  <si>
    <t>Jul 19</t>
  </si>
  <si>
    <t>Aug 19</t>
  </si>
  <si>
    <t>Total 3001.05 Comm. Ed - Irvine 17-19</t>
  </si>
  <si>
    <t>3012.7 PLP - EVG 19-20</t>
  </si>
  <si>
    <t>unr b</t>
  </si>
  <si>
    <t>rst budget</t>
  </si>
  <si>
    <t>2019/20 Beg Balance</t>
  </si>
  <si>
    <t>2019/20 Restr Beg Balance</t>
  </si>
  <si>
    <t>Easy Voter</t>
  </si>
  <si>
    <t>2019/20 Beginning Balance</t>
  </si>
  <si>
    <t>2019/20 Ending Balance</t>
  </si>
  <si>
    <t>LWVC 2019-20 Functional Report</t>
  </si>
  <si>
    <t>Total Operating Revenue</t>
  </si>
  <si>
    <t>2015.2 · Santa Clarita MAS Unit</t>
  </si>
  <si>
    <t>3001.1 MTA</t>
  </si>
  <si>
    <t>3001.2 DEI</t>
  </si>
  <si>
    <t>3006 LEW* - Other</t>
  </si>
  <si>
    <t>3011 Schafer Fellowship</t>
  </si>
  <si>
    <t>19/20 including spending $11,204 for staff expenses</t>
  </si>
  <si>
    <t>LWVCEF</t>
  </si>
  <si>
    <t>SCVF</t>
  </si>
  <si>
    <t>Undesignated</t>
  </si>
  <si>
    <t>Strategic</t>
  </si>
  <si>
    <t>offset to the plus side</t>
  </si>
  <si>
    <t>plus for unrestricted</t>
  </si>
  <si>
    <t>increase staff time to spend--help unrestricted</t>
  </si>
  <si>
    <t>minus to 19/20 unrestricted budget</t>
  </si>
  <si>
    <t>2018/19 Ending Balance</t>
  </si>
  <si>
    <t>Jul - Sep 19</t>
  </si>
  <si>
    <t>Detailed totals in Quickbooks</t>
  </si>
  <si>
    <t>Sep 30, 19</t>
  </si>
  <si>
    <t>assume rounding</t>
  </si>
  <si>
    <t>Sep 19</t>
  </si>
  <si>
    <t>2015.3 · Davis MAS</t>
  </si>
  <si>
    <t>Financial Summary November 2019</t>
  </si>
  <si>
    <t>LWVC November 2019 Financial Summary and Revenue Summary Report</t>
  </si>
  <si>
    <t>LWVCEF  November 2019 Financial Summary, Revenue Summary and Ending Balance Components</t>
  </si>
  <si>
    <t>LWVCEF  November 2019 Functional Reports</t>
  </si>
  <si>
    <t>November 2019 Actuals</t>
  </si>
  <si>
    <t>November 2019 Difference</t>
  </si>
  <si>
    <t xml:space="preserve">November 2019 % Spent </t>
  </si>
  <si>
    <t>November Actuals</t>
  </si>
  <si>
    <t>New grant - received in 2018/19 - costs will be in-kind. This will end up helping the Unrestricted EF. Funds released in November 2019</t>
  </si>
  <si>
    <t>Presented at November Finance Committee Meeting</t>
  </si>
  <si>
    <t>November 2019 Budget vs Actual  Difference</t>
  </si>
  <si>
    <t>Release redistricting grant from restricted to unrestricted</t>
  </si>
  <si>
    <t>Oct 31, 19</t>
  </si>
  <si>
    <t>Nov 30, 19</t>
  </si>
  <si>
    <t>1005 · WFB Chkg, Combined Ed Fund Acct</t>
  </si>
  <si>
    <t>1005.1 · LWVC Ed Fund, WFB Chkg</t>
  </si>
  <si>
    <t>Total 1005 · WFB Chkg, Combined Ed Fund Acct</t>
  </si>
  <si>
    <t>1016.1 · Live Oak CD - 8798</t>
  </si>
  <si>
    <t>1016.2 · Live Oak CD - 2391</t>
  </si>
  <si>
    <t>1016 · Live Oak Bank - Other</t>
  </si>
  <si>
    <t>Total 1016 · Live Oak Bank</t>
  </si>
  <si>
    <t>2093 · Davis MAS</t>
  </si>
  <si>
    <t>Oct 19</t>
  </si>
  <si>
    <t>Nov 19</t>
  </si>
  <si>
    <t>Jul - Nov 19</t>
  </si>
  <si>
    <t>3001.3 Guide to Government</t>
  </si>
  <si>
    <t>3001.7 Redistricting</t>
  </si>
  <si>
    <t>1016.1 · Live Oak CD (2389)</t>
  </si>
  <si>
    <t>1016.2 · Live Oak CD (2494)</t>
  </si>
  <si>
    <t>2007.1 · Wells Fargo Carol Goldberg-0508</t>
  </si>
  <si>
    <t>2007.8 · Wells Fargo - Sharon Stone-1978</t>
  </si>
  <si>
    <t>2007.9 · Wells Fargo H Hutchison-4833</t>
  </si>
  <si>
    <t>3001 Member Services - Other</t>
  </si>
  <si>
    <t>Includes $6705 of Schools and Community First Income - Expenses are greater than income</t>
  </si>
  <si>
    <t>New LWVUS redistricting toolkit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</si>
</sst>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;\-#,##0.00"/>
    <numFmt numFmtId="167" formatCode="0.0%"/>
    <numFmt numFmtId="168" formatCode="#,##0.0"/>
    <numFmt numFmtId="169" formatCode="&quot;$&quot;#,##0.00"/>
    <numFmt numFmtId="170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indexed="8"/>
      <name val="Times New Roman"/>
      <family val="2"/>
    </font>
    <font>
      <sz val="12"/>
      <color theme="1"/>
      <name val="Times New Roman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4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7" fontId="7" fillId="2" borderId="0" xfId="0" applyNumberFormat="1" applyFont="1" applyFill="1"/>
    <xf numFmtId="17" fontId="2" fillId="2" borderId="0" xfId="0" applyNumberFormat="1" applyFont="1" applyFill="1"/>
    <xf numFmtId="0" fontId="0" fillId="2" borderId="0" xfId="0" applyFill="1"/>
    <xf numFmtId="0" fontId="0" fillId="2" borderId="0" xfId="0" applyFill="1" applyBorder="1"/>
    <xf numFmtId="0" fontId="7" fillId="2" borderId="0" xfId="0" applyFont="1" applyFill="1"/>
    <xf numFmtId="0" fontId="2" fillId="2" borderId="0" xfId="0" applyFont="1" applyFill="1"/>
    <xf numFmtId="0" fontId="7" fillId="2" borderId="0" xfId="0" applyFont="1" applyFill="1" applyBorder="1"/>
    <xf numFmtId="0" fontId="2" fillId="2" borderId="17" xfId="0" applyFont="1" applyFill="1" applyBorder="1"/>
    <xf numFmtId="0" fontId="2" fillId="2" borderId="18" xfId="0" applyFont="1" applyFill="1" applyBorder="1" applyAlignment="1">
      <alignment wrapText="1"/>
    </xf>
    <xf numFmtId="0" fontId="2" fillId="2" borderId="1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0" fillId="2" borderId="20" xfId="0" applyFill="1" applyBorder="1"/>
    <xf numFmtId="164" fontId="0" fillId="2" borderId="5" xfId="2" applyNumberFormat="1" applyFont="1" applyFill="1" applyBorder="1"/>
    <xf numFmtId="9" fontId="0" fillId="2" borderId="0" xfId="3" applyFont="1" applyFill="1" applyBorder="1"/>
    <xf numFmtId="0" fontId="0" fillId="2" borderId="2" xfId="0" applyFill="1" applyBorder="1"/>
    <xf numFmtId="164" fontId="0" fillId="2" borderId="0" xfId="2" applyNumberFormat="1" applyFont="1" applyFill="1" applyBorder="1"/>
    <xf numFmtId="164" fontId="0" fillId="2" borderId="4" xfId="2" applyNumberFormat="1" applyFon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164" fontId="0" fillId="2" borderId="10" xfId="2" applyNumberFormat="1" applyFont="1" applyFill="1" applyBorder="1"/>
    <xf numFmtId="164" fontId="0" fillId="2" borderId="13" xfId="2" applyNumberFormat="1" applyFont="1" applyFill="1" applyBorder="1"/>
    <xf numFmtId="164" fontId="0" fillId="2" borderId="15" xfId="2" applyNumberFormat="1" applyFont="1" applyFill="1" applyBorder="1"/>
    <xf numFmtId="0" fontId="0" fillId="2" borderId="4" xfId="0" applyFill="1" applyBorder="1"/>
    <xf numFmtId="164" fontId="3" fillId="2" borderId="0" xfId="2" applyNumberFormat="1" applyFont="1" applyFill="1" applyBorder="1" applyAlignment="1">
      <alignment horizontal="right" vertical="center"/>
    </xf>
    <xf numFmtId="164" fontId="3" fillId="2" borderId="4" xfId="2" applyNumberFormat="1" applyFont="1" applyFill="1" applyBorder="1" applyAlignment="1">
      <alignment horizontal="right" vertical="center"/>
    </xf>
    <xf numFmtId="0" fontId="2" fillId="2" borderId="2" xfId="0" applyFont="1" applyFill="1" applyBorder="1"/>
    <xf numFmtId="165" fontId="0" fillId="2" borderId="0" xfId="1" applyNumberFormat="1" applyFont="1" applyFill="1" applyBorder="1"/>
    <xf numFmtId="164" fontId="2" fillId="2" borderId="13" xfId="0" applyNumberFormat="1" applyFont="1" applyFill="1" applyBorder="1"/>
    <xf numFmtId="164" fontId="2" fillId="2" borderId="2" xfId="2" applyNumberFormat="1" applyFont="1" applyFill="1" applyBorder="1"/>
    <xf numFmtId="0" fontId="2" fillId="2" borderId="6" xfId="0" applyFont="1" applyFill="1" applyBorder="1"/>
    <xf numFmtId="165" fontId="0" fillId="2" borderId="12" xfId="1" applyNumberFormat="1" applyFont="1" applyFill="1" applyBorder="1"/>
    <xf numFmtId="0" fontId="0" fillId="2" borderId="2" xfId="0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  <xf numFmtId="164" fontId="0" fillId="2" borderId="0" xfId="0" applyNumberFormat="1" applyFill="1"/>
    <xf numFmtId="0" fontId="2" fillId="2" borderId="20" xfId="0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 wrapText="1"/>
    </xf>
    <xf numFmtId="164" fontId="0" fillId="2" borderId="21" xfId="0" applyNumberFormat="1" applyFill="1" applyBorder="1"/>
    <xf numFmtId="164" fontId="0" fillId="2" borderId="3" xfId="2" applyNumberFormat="1" applyFont="1" applyFill="1" applyBorder="1"/>
    <xf numFmtId="164" fontId="0" fillId="2" borderId="16" xfId="0" applyNumberFormat="1" applyFill="1" applyBorder="1"/>
    <xf numFmtId="164" fontId="0" fillId="2" borderId="14" xfId="2" applyNumberFormat="1" applyFont="1" applyFill="1" applyBorder="1"/>
    <xf numFmtId="164" fontId="3" fillId="2" borderId="3" xfId="2" applyNumberFormat="1" applyFont="1" applyFill="1" applyBorder="1" applyAlignment="1">
      <alignment horizontal="right" vertical="center"/>
    </xf>
    <xf numFmtId="0" fontId="0" fillId="2" borderId="3" xfId="0" applyFill="1" applyBorder="1"/>
    <xf numFmtId="165" fontId="0" fillId="2" borderId="0" xfId="0" applyNumberFormat="1" applyFill="1" applyBorder="1"/>
    <xf numFmtId="165" fontId="0" fillId="2" borderId="3" xfId="1" applyNumberFormat="1" applyFont="1" applyFill="1" applyBorder="1"/>
    <xf numFmtId="164" fontId="2" fillId="2" borderId="0" xfId="0" applyNumberFormat="1" applyFont="1" applyFill="1" applyBorder="1"/>
    <xf numFmtId="164" fontId="2" fillId="2" borderId="22" xfId="0" applyNumberFormat="1" applyFont="1" applyFill="1" applyBorder="1"/>
    <xf numFmtId="165" fontId="1" fillId="2" borderId="0" xfId="1" applyNumberFormat="1" applyFont="1" applyFill="1" applyBorder="1"/>
    <xf numFmtId="164" fontId="2" fillId="2" borderId="22" xfId="2" applyNumberFormat="1" applyFont="1" applyFill="1" applyBorder="1"/>
    <xf numFmtId="43" fontId="0" fillId="2" borderId="0" xfId="0" applyNumberFormat="1" applyFill="1"/>
    <xf numFmtId="165" fontId="0" fillId="2" borderId="0" xfId="0" applyNumberFormat="1" applyFill="1"/>
    <xf numFmtId="164" fontId="0" fillId="0" borderId="0" xfId="0" applyNumberFormat="1" applyBorder="1"/>
    <xf numFmtId="165" fontId="0" fillId="0" borderId="0" xfId="1" applyNumberFormat="1" applyFont="1" applyBorder="1"/>
    <xf numFmtId="164" fontId="0" fillId="0" borderId="0" xfId="0" applyNumberFormat="1" applyFill="1" applyBorder="1"/>
    <xf numFmtId="164" fontId="2" fillId="2" borderId="7" xfId="2" applyNumberFormat="1" applyFont="1" applyFill="1" applyBorder="1"/>
    <xf numFmtId="0" fontId="0" fillId="2" borderId="7" xfId="0" applyFill="1" applyBorder="1"/>
    <xf numFmtId="164" fontId="0" fillId="2" borderId="26" xfId="2" applyNumberFormat="1" applyFont="1" applyFill="1" applyBorder="1"/>
    <xf numFmtId="164" fontId="0" fillId="2" borderId="27" xfId="2" applyNumberFormat="1" applyFont="1" applyFill="1" applyBorder="1"/>
    <xf numFmtId="0" fontId="0" fillId="2" borderId="26" xfId="0" applyFill="1" applyBorder="1"/>
    <xf numFmtId="164" fontId="1" fillId="2" borderId="26" xfId="2" applyNumberFormat="1" applyFont="1" applyFill="1" applyBorder="1"/>
    <xf numFmtId="164" fontId="2" fillId="2" borderId="14" xfId="0" applyNumberFormat="1" applyFont="1" applyFill="1" applyBorder="1"/>
    <xf numFmtId="164" fontId="2" fillId="2" borderId="13" xfId="2" applyNumberFormat="1" applyFont="1" applyFill="1" applyBorder="1"/>
    <xf numFmtId="164" fontId="0" fillId="0" borderId="4" xfId="2" applyNumberFormat="1" applyFont="1" applyBorder="1"/>
    <xf numFmtId="164" fontId="0" fillId="0" borderId="4" xfId="2" applyNumberFormat="1" applyFont="1" applyFill="1" applyBorder="1"/>
    <xf numFmtId="164" fontId="0" fillId="0" borderId="10" xfId="2" applyNumberFormat="1" applyFont="1" applyFill="1" applyBorder="1"/>
    <xf numFmtId="0" fontId="0" fillId="0" borderId="4" xfId="0" applyBorder="1"/>
    <xf numFmtId="0" fontId="0" fillId="0" borderId="17" xfId="0" applyBorder="1"/>
    <xf numFmtId="164" fontId="0" fillId="2" borderId="11" xfId="0" applyNumberFormat="1" applyFill="1" applyBorder="1"/>
    <xf numFmtId="164" fontId="2" fillId="2" borderId="14" xfId="2" applyNumberFormat="1" applyFont="1" applyFill="1" applyBorder="1"/>
    <xf numFmtId="164" fontId="0" fillId="2" borderId="25" xfId="2" applyNumberFormat="1" applyFont="1" applyFill="1" applyBorder="1"/>
    <xf numFmtId="164" fontId="2" fillId="2" borderId="27" xfId="0" applyNumberFormat="1" applyFont="1" applyFill="1" applyBorder="1"/>
    <xf numFmtId="0" fontId="2" fillId="0" borderId="5" xfId="0" applyFont="1" applyFill="1" applyBorder="1" applyAlignment="1">
      <alignment wrapText="1"/>
    </xf>
    <xf numFmtId="164" fontId="0" fillId="0" borderId="5" xfId="0" applyNumberFormat="1" applyFill="1" applyBorder="1"/>
    <xf numFmtId="164" fontId="0" fillId="0" borderId="3" xfId="0" applyNumberFormat="1" applyFill="1" applyBorder="1"/>
    <xf numFmtId="164" fontId="0" fillId="0" borderId="14" xfId="0" applyNumberFormat="1" applyFill="1" applyBorder="1"/>
    <xf numFmtId="164" fontId="2" fillId="0" borderId="14" xfId="0" applyNumberFormat="1" applyFont="1" applyFill="1" applyBorder="1"/>
    <xf numFmtId="0" fontId="0" fillId="0" borderId="3" xfId="0" applyFill="1" applyBorder="1"/>
    <xf numFmtId="164" fontId="0" fillId="0" borderId="3" xfId="2" applyNumberFormat="1" applyFont="1" applyFill="1" applyBorder="1"/>
    <xf numFmtId="164" fontId="2" fillId="0" borderId="25" xfId="2" applyNumberFormat="1" applyFont="1" applyFill="1" applyBorder="1"/>
    <xf numFmtId="0" fontId="2" fillId="0" borderId="0" xfId="0" applyFont="1" applyFill="1" applyBorder="1"/>
    <xf numFmtId="165" fontId="2" fillId="0" borderId="0" xfId="1" applyNumberFormat="1" applyFont="1" applyFill="1" applyBorder="1"/>
    <xf numFmtId="164" fontId="2" fillId="2" borderId="2" xfId="2" applyNumberFormat="1" applyFont="1" applyFill="1" applyBorder="1" applyAlignment="1">
      <alignment horizontal="left"/>
    </xf>
    <xf numFmtId="164" fontId="0" fillId="2" borderId="31" xfId="2" applyNumberFormat="1" applyFont="1" applyFill="1" applyBorder="1"/>
    <xf numFmtId="164" fontId="0" fillId="2" borderId="2" xfId="2" applyNumberFormat="1" applyFont="1" applyFill="1" applyBorder="1"/>
    <xf numFmtId="0" fontId="0" fillId="0" borderId="2" xfId="0" applyBorder="1"/>
    <xf numFmtId="164" fontId="0" fillId="2" borderId="30" xfId="2" applyNumberFormat="1" applyFont="1" applyFill="1" applyBorder="1"/>
    <xf numFmtId="164" fontId="0" fillId="0" borderId="0" xfId="0" applyNumberFormat="1"/>
    <xf numFmtId="0" fontId="0" fillId="0" borderId="2" xfId="0" applyFill="1" applyBorder="1"/>
    <xf numFmtId="164" fontId="3" fillId="2" borderId="26" xfId="2" applyNumberFormat="1" applyFont="1" applyFill="1" applyBorder="1" applyAlignment="1">
      <alignment horizontal="right" vertical="center"/>
    </xf>
    <xf numFmtId="164" fontId="0" fillId="2" borderId="27" xfId="0" applyNumberFormat="1" applyFill="1" applyBorder="1"/>
    <xf numFmtId="165" fontId="0" fillId="2" borderId="26" xfId="1" applyNumberFormat="1" applyFont="1" applyFill="1" applyBorder="1"/>
    <xf numFmtId="164" fontId="2" fillId="2" borderId="27" xfId="2" applyNumberFormat="1" applyFont="1" applyFill="1" applyBorder="1"/>
    <xf numFmtId="165" fontId="0" fillId="2" borderId="7" xfId="0" applyNumberFormat="1" applyFill="1" applyBorder="1"/>
    <xf numFmtId="165" fontId="0" fillId="2" borderId="14" xfId="1" applyNumberFormat="1" applyFont="1" applyFill="1" applyBorder="1"/>
    <xf numFmtId="165" fontId="0" fillId="2" borderId="12" xfId="0" applyNumberFormat="1" applyFill="1" applyBorder="1"/>
    <xf numFmtId="164" fontId="0" fillId="2" borderId="22" xfId="2" applyNumberFormat="1" applyFont="1" applyFill="1" applyBorder="1"/>
    <xf numFmtId="164" fontId="0" fillId="2" borderId="16" xfId="2" applyNumberFormat="1" applyFont="1" applyFill="1" applyBorder="1"/>
    <xf numFmtId="164" fontId="0" fillId="2" borderId="5" xfId="0" applyNumberFormat="1" applyFill="1" applyBorder="1"/>
    <xf numFmtId="164" fontId="0" fillId="0" borderId="4" xfId="0" applyNumberFormat="1" applyFill="1" applyBorder="1"/>
    <xf numFmtId="0" fontId="0" fillId="3" borderId="0" xfId="0" applyFill="1"/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9" fontId="0" fillId="2" borderId="3" xfId="3" applyFont="1" applyFill="1" applyBorder="1"/>
    <xf numFmtId="164" fontId="0" fillId="2" borderId="32" xfId="0" applyNumberFormat="1" applyFill="1" applyBorder="1"/>
    <xf numFmtId="0" fontId="0" fillId="2" borderId="6" xfId="0" applyFill="1" applyBorder="1"/>
    <xf numFmtId="164" fontId="0" fillId="2" borderId="12" xfId="0" applyNumberFormat="1" applyFill="1" applyBorder="1"/>
    <xf numFmtId="9" fontId="0" fillId="2" borderId="12" xfId="3" applyFont="1" applyFill="1" applyBorder="1"/>
    <xf numFmtId="0" fontId="0" fillId="2" borderId="9" xfId="0" applyFill="1" applyBorder="1"/>
    <xf numFmtId="0" fontId="2" fillId="0" borderId="0" xfId="0" applyFont="1" applyBorder="1"/>
    <xf numFmtId="165" fontId="2" fillId="0" borderId="0" xfId="1" applyNumberFormat="1" applyFont="1" applyBorder="1"/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2" xfId="0" applyBorder="1" applyAlignment="1">
      <alignment horizontal="left"/>
    </xf>
    <xf numFmtId="164" fontId="0" fillId="0" borderId="0" xfId="2" applyNumberFormat="1" applyFont="1" applyBorder="1"/>
    <xf numFmtId="9" fontId="0" fillId="0" borderId="3" xfId="3" applyFont="1" applyFill="1" applyBorder="1"/>
    <xf numFmtId="9" fontId="0" fillId="0" borderId="0" xfId="3" applyFont="1" applyFill="1" applyBorder="1"/>
    <xf numFmtId="166" fontId="0" fillId="0" borderId="0" xfId="0" applyNumberFormat="1"/>
    <xf numFmtId="0" fontId="0" fillId="0" borderId="2" xfId="0" applyFill="1" applyBorder="1" applyAlignment="1">
      <alignment horizontal="left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0" fontId="2" fillId="0" borderId="2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0" fillId="0" borderId="0" xfId="3" applyNumberFormat="1" applyFont="1" applyFill="1" applyBorder="1"/>
    <xf numFmtId="0" fontId="0" fillId="0" borderId="2" xfId="0" applyFont="1" applyBorder="1" applyAlignment="1">
      <alignment horizontal="left"/>
    </xf>
    <xf numFmtId="165" fontId="1" fillId="0" borderId="0" xfId="1" applyNumberFormat="1" applyFont="1" applyBorder="1"/>
    <xf numFmtId="0" fontId="0" fillId="0" borderId="2" xfId="0" applyFont="1" applyFill="1" applyBorder="1" applyAlignment="1">
      <alignment horizontal="left"/>
    </xf>
    <xf numFmtId="0" fontId="2" fillId="0" borderId="2" xfId="0" applyFont="1" applyBorder="1"/>
    <xf numFmtId="164" fontId="2" fillId="0" borderId="0" xfId="2" applyNumberFormat="1" applyFont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3" xfId="0" applyBorder="1"/>
    <xf numFmtId="0" fontId="2" fillId="0" borderId="6" xfId="0" applyFont="1" applyFill="1" applyBorder="1" applyAlignment="1">
      <alignment horizontal="left"/>
    </xf>
    <xf numFmtId="164" fontId="2" fillId="0" borderId="7" xfId="0" applyNumberFormat="1" applyFont="1" applyFill="1" applyBorder="1"/>
    <xf numFmtId="164" fontId="0" fillId="0" borderId="12" xfId="0" applyNumberFormat="1" applyFill="1" applyBorder="1"/>
    <xf numFmtId="9" fontId="0" fillId="0" borderId="12" xfId="3" applyFont="1" applyFill="1" applyBorder="1"/>
    <xf numFmtId="0" fontId="2" fillId="0" borderId="20" xfId="0" applyFont="1" applyFill="1" applyBorder="1"/>
    <xf numFmtId="0" fontId="2" fillId="0" borderId="21" xfId="0" applyFont="1" applyBorder="1"/>
    <xf numFmtId="0" fontId="2" fillId="0" borderId="20" xfId="0" applyFont="1" applyBorder="1" applyAlignment="1">
      <alignment wrapText="1"/>
    </xf>
    <xf numFmtId="164" fontId="0" fillId="0" borderId="2" xfId="0" applyNumberFormat="1" applyFill="1" applyBorder="1"/>
    <xf numFmtId="0" fontId="0" fillId="0" borderId="6" xfId="0" applyBorder="1"/>
    <xf numFmtId="165" fontId="0" fillId="0" borderId="22" xfId="0" applyNumberFormat="1" applyFill="1" applyBorder="1"/>
    <xf numFmtId="164" fontId="0" fillId="0" borderId="30" xfId="0" applyNumberFormat="1" applyFill="1" applyBorder="1"/>
    <xf numFmtId="9" fontId="0" fillId="7" borderId="12" xfId="3" applyFont="1" applyFill="1" applyBorder="1"/>
    <xf numFmtId="165" fontId="0" fillId="0" borderId="4" xfId="0" applyNumberFormat="1" applyFill="1" applyBorder="1"/>
    <xf numFmtId="0" fontId="0" fillId="0" borderId="4" xfId="0" applyFill="1" applyBorder="1"/>
    <xf numFmtId="164" fontId="0" fillId="0" borderId="0" xfId="2" applyNumberFormat="1" applyFont="1" applyFill="1" applyBorder="1"/>
    <xf numFmtId="0" fontId="0" fillId="0" borderId="6" xfId="0" applyFill="1" applyBorder="1"/>
    <xf numFmtId="0" fontId="0" fillId="0" borderId="8" xfId="0" applyFill="1" applyBorder="1"/>
    <xf numFmtId="0" fontId="2" fillId="0" borderId="20" xfId="0" applyFont="1" applyBorder="1"/>
    <xf numFmtId="0" fontId="0" fillId="0" borderId="9" xfId="0" applyFill="1" applyBorder="1"/>
    <xf numFmtId="0" fontId="2" fillId="0" borderId="6" xfId="0" applyFont="1" applyBorder="1"/>
    <xf numFmtId="165" fontId="2" fillId="0" borderId="8" xfId="1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" xfId="0" applyFont="1" applyBorder="1" applyAlignment="1">
      <alignment wrapText="1"/>
    </xf>
    <xf numFmtId="0" fontId="0" fillId="0" borderId="12" xfId="0" applyBorder="1"/>
    <xf numFmtId="164" fontId="0" fillId="0" borderId="6" xfId="0" applyNumberFormat="1" applyFill="1" applyBorder="1"/>
    <xf numFmtId="0" fontId="0" fillId="7" borderId="12" xfId="0" applyFill="1" applyBorder="1"/>
    <xf numFmtId="0" fontId="0" fillId="0" borderId="20" xfId="0" applyFill="1" applyBorder="1"/>
    <xf numFmtId="164" fontId="0" fillId="0" borderId="9" xfId="0" applyNumberFormat="1" applyFill="1" applyBorder="1"/>
    <xf numFmtId="0" fontId="2" fillId="0" borderId="0" xfId="0" applyFont="1" applyFill="1" applyAlignment="1">
      <alignment horizontal="center"/>
    </xf>
    <xf numFmtId="0" fontId="2" fillId="0" borderId="17" xfId="0" applyFont="1" applyFill="1" applyBorder="1" applyAlignment="1">
      <alignment horizontal="left"/>
    </xf>
    <xf numFmtId="164" fontId="0" fillId="0" borderId="8" xfId="0" applyNumberFormat="1" applyBorder="1"/>
    <xf numFmtId="0" fontId="2" fillId="0" borderId="0" xfId="0" applyFont="1"/>
    <xf numFmtId="165" fontId="2" fillId="0" borderId="0" xfId="1" applyNumberFormat="1" applyFont="1"/>
    <xf numFmtId="0" fontId="2" fillId="8" borderId="20" xfId="0" applyFont="1" applyFill="1" applyBorder="1"/>
    <xf numFmtId="0" fontId="2" fillId="7" borderId="21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7" borderId="21" xfId="0" applyFont="1" applyFill="1" applyBorder="1" applyAlignment="1"/>
    <xf numFmtId="0" fontId="0" fillId="7" borderId="9" xfId="0" applyFill="1" applyBorder="1"/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9" borderId="0" xfId="0" applyFont="1" applyFill="1" applyBorder="1" applyAlignment="1">
      <alignment horizontal="center" wrapText="1"/>
    </xf>
    <xf numFmtId="0" fontId="1" fillId="0" borderId="0" xfId="9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2" xfId="0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4" fontId="2" fillId="9" borderId="0" xfId="2" applyNumberFormat="1" applyFont="1" applyFill="1" applyBorder="1" applyAlignment="1">
      <alignment horizontal="right"/>
    </xf>
    <xf numFmtId="164" fontId="2" fillId="0" borderId="4" xfId="2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164" fontId="2" fillId="0" borderId="7" xfId="2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9" borderId="0" xfId="0" applyNumberFormat="1" applyFont="1" applyFill="1" applyBorder="1" applyAlignment="1">
      <alignment horizontal="right"/>
    </xf>
    <xf numFmtId="0" fontId="0" fillId="9" borderId="0" xfId="0" applyFill="1" applyBorder="1"/>
    <xf numFmtId="17" fontId="2" fillId="10" borderId="20" xfId="0" quotePrefix="1" applyNumberFormat="1" applyFont="1" applyFill="1" applyBorder="1"/>
    <xf numFmtId="0" fontId="2" fillId="10" borderId="21" xfId="0" applyFont="1" applyFill="1" applyBorder="1" applyAlignment="1">
      <alignment horizontal="center"/>
    </xf>
    <xf numFmtId="0" fontId="2" fillId="10" borderId="21" xfId="0" applyFont="1" applyFill="1" applyBorder="1" applyAlignment="1"/>
    <xf numFmtId="0" fontId="0" fillId="10" borderId="9" xfId="0" applyFill="1" applyBorder="1"/>
    <xf numFmtId="0" fontId="0" fillId="10" borderId="2" xfId="0" applyFill="1" applyBorder="1"/>
    <xf numFmtId="0" fontId="0" fillId="10" borderId="0" xfId="0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 wrapText="1"/>
    </xf>
    <xf numFmtId="0" fontId="1" fillId="10" borderId="0" xfId="9" applyFill="1" applyBorder="1" applyAlignment="1">
      <alignment horizontal="center" wrapText="1"/>
    </xf>
    <xf numFmtId="0" fontId="2" fillId="10" borderId="4" xfId="0" applyFont="1" applyFill="1" applyBorder="1" applyAlignment="1">
      <alignment wrapText="1"/>
    </xf>
    <xf numFmtId="0" fontId="0" fillId="10" borderId="2" xfId="0" applyFill="1" applyBorder="1" applyAlignment="1">
      <alignment horizontal="right"/>
    </xf>
    <xf numFmtId="164" fontId="2" fillId="10" borderId="0" xfId="2" applyNumberFormat="1" applyFont="1" applyFill="1" applyBorder="1" applyAlignment="1">
      <alignment horizontal="right"/>
    </xf>
    <xf numFmtId="164" fontId="2" fillId="10" borderId="4" xfId="2" applyNumberFormat="1" applyFont="1" applyFill="1" applyBorder="1" applyAlignment="1">
      <alignment horizontal="right"/>
    </xf>
    <xf numFmtId="165" fontId="2" fillId="10" borderId="0" xfId="0" applyNumberFormat="1" applyFont="1" applyFill="1" applyBorder="1" applyAlignment="1">
      <alignment horizontal="right"/>
    </xf>
    <xf numFmtId="0" fontId="0" fillId="10" borderId="6" xfId="0" applyFill="1" applyBorder="1" applyAlignment="1">
      <alignment horizontal="right"/>
    </xf>
    <xf numFmtId="164" fontId="2" fillId="10" borderId="7" xfId="2" applyNumberFormat="1" applyFont="1" applyFill="1" applyBorder="1" applyAlignment="1">
      <alignment horizontal="right"/>
    </xf>
    <xf numFmtId="164" fontId="2" fillId="10" borderId="7" xfId="0" applyNumberFormat="1" applyFont="1" applyFill="1" applyBorder="1" applyAlignment="1">
      <alignment horizontal="right"/>
    </xf>
    <xf numFmtId="164" fontId="2" fillId="10" borderId="8" xfId="2" applyNumberFormat="1" applyFont="1" applyFill="1" applyBorder="1" applyAlignment="1">
      <alignment horizontal="right"/>
    </xf>
    <xf numFmtId="17" fontId="2" fillId="7" borderId="20" xfId="0" quotePrefix="1" applyNumberFormat="1" applyFont="1" applyFill="1" applyBorder="1"/>
    <xf numFmtId="164" fontId="0" fillId="0" borderId="4" xfId="2" applyNumberFormat="1" applyFont="1" applyBorder="1" applyAlignment="1">
      <alignment horizontal="right"/>
    </xf>
    <xf numFmtId="164" fontId="2" fillId="0" borderId="8" xfId="2" applyNumberFormat="1" applyFont="1" applyBorder="1" applyAlignment="1">
      <alignment horizontal="right"/>
    </xf>
    <xf numFmtId="0" fontId="2" fillId="0" borderId="21" xfId="0" applyFont="1" applyFill="1" applyBorder="1" applyAlignment="1">
      <alignment horizontal="center"/>
    </xf>
    <xf numFmtId="0" fontId="0" fillId="0" borderId="9" xfId="0" applyBorder="1"/>
    <xf numFmtId="9" fontId="0" fillId="0" borderId="0" xfId="3" applyFont="1" applyFill="1" applyBorder="1" applyAlignment="1">
      <alignment horizontal="right"/>
    </xf>
    <xf numFmtId="9" fontId="0" fillId="0" borderId="0" xfId="3" applyFont="1" applyBorder="1" applyAlignment="1">
      <alignment horizontal="right"/>
    </xf>
    <xf numFmtId="9" fontId="0" fillId="9" borderId="0" xfId="3" applyFont="1" applyFill="1" applyBorder="1" applyAlignment="1">
      <alignment horizontal="right"/>
    </xf>
    <xf numFmtId="9" fontId="0" fillId="0" borderId="4" xfId="3" applyFont="1" applyBorder="1" applyAlignment="1">
      <alignment horizontal="right"/>
    </xf>
    <xf numFmtId="9" fontId="0" fillId="0" borderId="7" xfId="3" applyFont="1" applyBorder="1" applyAlignment="1">
      <alignment horizontal="right"/>
    </xf>
    <xf numFmtId="9" fontId="0" fillId="0" borderId="8" xfId="3" applyFont="1" applyBorder="1" applyAlignment="1">
      <alignment horizontal="right"/>
    </xf>
    <xf numFmtId="0" fontId="0" fillId="11" borderId="0" xfId="0" applyFill="1"/>
    <xf numFmtId="0" fontId="0" fillId="5" borderId="0" xfId="0" applyFill="1" applyBorder="1"/>
    <xf numFmtId="0" fontId="0" fillId="6" borderId="0" xfId="0" applyFill="1" applyBorder="1"/>
    <xf numFmtId="2" fontId="0" fillId="0" borderId="0" xfId="0" applyNumberFormat="1"/>
    <xf numFmtId="0" fontId="0" fillId="0" borderId="0" xfId="0" applyFont="1"/>
    <xf numFmtId="167" fontId="0" fillId="0" borderId="0" xfId="3" applyNumberFormat="1" applyFont="1" applyBorder="1"/>
    <xf numFmtId="167" fontId="0" fillId="0" borderId="12" xfId="3" applyNumberFormat="1" applyFont="1" applyBorder="1"/>
    <xf numFmtId="0" fontId="0" fillId="0" borderId="7" xfId="0" applyBorder="1"/>
    <xf numFmtId="165" fontId="0" fillId="6" borderId="0" xfId="1" applyNumberFormat="1" applyFont="1" applyFill="1" applyBorder="1"/>
    <xf numFmtId="0" fontId="2" fillId="7" borderId="20" xfId="0" applyFont="1" applyFill="1" applyBorder="1"/>
    <xf numFmtId="167" fontId="0" fillId="0" borderId="3" xfId="3" applyNumberFormat="1" applyFont="1" applyBorder="1"/>
    <xf numFmtId="164" fontId="0" fillId="0" borderId="8" xfId="2" applyNumberFormat="1" applyFont="1" applyBorder="1"/>
    <xf numFmtId="164" fontId="0" fillId="0" borderId="7" xfId="0" applyNumberFormat="1" applyBorder="1"/>
    <xf numFmtId="164" fontId="2" fillId="0" borderId="7" xfId="2" applyNumberFormat="1" applyFont="1" applyBorder="1"/>
    <xf numFmtId="164" fontId="2" fillId="0" borderId="7" xfId="0" applyNumberFormat="1" applyFont="1" applyBorder="1"/>
    <xf numFmtId="165" fontId="0" fillId="0" borderId="0" xfId="0" applyNumberFormat="1" applyBorder="1"/>
    <xf numFmtId="165" fontId="0" fillId="11" borderId="0" xfId="1" applyNumberFormat="1" applyFont="1" applyFill="1" applyBorder="1"/>
    <xf numFmtId="165" fontId="0" fillId="5" borderId="0" xfId="1" applyNumberFormat="1" applyFont="1" applyFill="1" applyBorder="1"/>
    <xf numFmtId="164" fontId="0" fillId="3" borderId="0" xfId="1" applyNumberFormat="1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2" fillId="0" borderId="0" xfId="0" applyNumberFormat="1" applyFont="1" applyBorder="1"/>
    <xf numFmtId="9" fontId="0" fillId="0" borderId="0" xfId="3" applyFont="1" applyBorder="1"/>
    <xf numFmtId="9" fontId="0" fillId="0" borderId="8" xfId="3" applyFont="1" applyBorder="1"/>
    <xf numFmtId="9" fontId="0" fillId="0" borderId="7" xfId="3" applyFont="1" applyBorder="1"/>
    <xf numFmtId="9" fontId="0" fillId="0" borderId="4" xfId="3" applyFont="1" applyBorder="1"/>
    <xf numFmtId="164" fontId="0" fillId="0" borderId="4" xfId="3" applyNumberFormat="1" applyFont="1" applyBorder="1"/>
    <xf numFmtId="164" fontId="0" fillId="0" borderId="0" xfId="3" applyNumberFormat="1" applyFont="1" applyBorder="1"/>
    <xf numFmtId="164" fontId="0" fillId="0" borderId="8" xfId="3" applyNumberFormat="1" applyFont="1" applyBorder="1"/>
    <xf numFmtId="164" fontId="0" fillId="0" borderId="7" xfId="3" applyNumberFormat="1" applyFont="1" applyBorder="1"/>
    <xf numFmtId="164" fontId="0" fillId="2" borderId="0" xfId="3" applyNumberFormat="1" applyFont="1" applyFill="1" applyBorder="1"/>
    <xf numFmtId="164" fontId="2" fillId="0" borderId="0" xfId="2" applyNumberFormat="1" applyFont="1" applyFill="1" applyBorder="1"/>
    <xf numFmtId="164" fontId="2" fillId="10" borderId="7" xfId="2" applyNumberFormat="1" applyFont="1" applyFill="1" applyBorder="1"/>
    <xf numFmtId="0" fontId="0" fillId="10" borderId="6" xfId="0" applyFill="1" applyBorder="1"/>
    <xf numFmtId="44" fontId="0" fillId="0" borderId="0" xfId="0" applyNumberFormat="1"/>
    <xf numFmtId="0" fontId="2" fillId="10" borderId="0" xfId="0" applyFont="1" applyFill="1" applyBorder="1" applyAlignment="1">
      <alignment wrapText="1"/>
    </xf>
    <xf numFmtId="0" fontId="0" fillId="10" borderId="0" xfId="0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7" xfId="2" applyNumberFormat="1" applyFont="1" applyFill="1" applyBorder="1"/>
    <xf numFmtId="0" fontId="9" fillId="0" borderId="0" xfId="0" applyFont="1" applyBorder="1"/>
    <xf numFmtId="9" fontId="10" fillId="0" borderId="0" xfId="3" applyFont="1" applyBorder="1"/>
    <xf numFmtId="164" fontId="10" fillId="0" borderId="0" xfId="0" applyNumberFormat="1" applyFont="1" applyBorder="1"/>
    <xf numFmtId="9" fontId="11" fillId="0" borderId="8" xfId="3" applyFont="1" applyBorder="1"/>
    <xf numFmtId="164" fontId="0" fillId="0" borderId="12" xfId="0" applyNumberFormat="1" applyBorder="1"/>
    <xf numFmtId="164" fontId="2" fillId="0" borderId="12" xfId="2" applyNumberFormat="1" applyFont="1" applyBorder="1"/>
    <xf numFmtId="0" fontId="0" fillId="0" borderId="0" xfId="0" applyFont="1" applyFill="1" applyBorder="1" applyAlignment="1">
      <alignment horizontal="left" wrapText="1"/>
    </xf>
    <xf numFmtId="9" fontId="12" fillId="0" borderId="4" xfId="3" applyFont="1" applyFill="1" applyBorder="1"/>
    <xf numFmtId="164" fontId="0" fillId="0" borderId="3" xfId="0" applyNumberFormat="1" applyBorder="1"/>
    <xf numFmtId="165" fontId="0" fillId="0" borderId="3" xfId="1" applyNumberFormat="1" applyFont="1" applyFill="1" applyBorder="1"/>
    <xf numFmtId="9" fontId="11" fillId="0" borderId="10" xfId="3" applyFont="1" applyBorder="1"/>
    <xf numFmtId="164" fontId="0" fillId="0" borderId="14" xfId="0" applyNumberFormat="1" applyBorder="1"/>
    <xf numFmtId="164" fontId="2" fillId="0" borderId="14" xfId="2" applyNumberFormat="1" applyFont="1" applyBorder="1"/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wrapText="1"/>
    </xf>
    <xf numFmtId="0" fontId="2" fillId="0" borderId="17" xfId="0" applyFont="1" applyBorder="1" applyAlignment="1">
      <alignment horizontal="left"/>
    </xf>
    <xf numFmtId="164" fontId="0" fillId="0" borderId="0" xfId="2" applyNumberFormat="1" applyFont="1"/>
    <xf numFmtId="164" fontId="0" fillId="2" borderId="4" xfId="0" applyNumberFormat="1" applyFill="1" applyBorder="1"/>
    <xf numFmtId="2" fontId="13" fillId="0" borderId="0" xfId="0" applyNumberFormat="1" applyFont="1"/>
    <xf numFmtId="164" fontId="0" fillId="2" borderId="22" xfId="0" applyNumberFormat="1" applyFill="1" applyBorder="1"/>
    <xf numFmtId="9" fontId="0" fillId="0" borderId="0" xfId="0" applyNumberFormat="1" applyFill="1" applyBorder="1"/>
    <xf numFmtId="2" fontId="8" fillId="0" borderId="0" xfId="0" applyNumberFormat="1" applyFont="1"/>
    <xf numFmtId="164" fontId="0" fillId="2" borderId="20" xfId="2" applyNumberFormat="1" applyFont="1" applyFill="1" applyBorder="1"/>
    <xf numFmtId="0" fontId="2" fillId="2" borderId="17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4" fontId="2" fillId="0" borderId="8" xfId="2" applyNumberFormat="1" applyFont="1" applyBorder="1"/>
    <xf numFmtId="164" fontId="1" fillId="0" borderId="0" xfId="13" applyNumberFormat="1" applyFont="1"/>
    <xf numFmtId="165" fontId="1" fillId="0" borderId="0" xfId="14" applyNumberFormat="1" applyFont="1"/>
    <xf numFmtId="165" fontId="1" fillId="0" borderId="0" xfId="14" applyNumberFormat="1" applyFont="1" applyFill="1"/>
    <xf numFmtId="0" fontId="2" fillId="7" borderId="20" xfId="0" applyFont="1" applyFill="1" applyBorder="1" applyAlignment="1"/>
    <xf numFmtId="0" fontId="1" fillId="0" borderId="2" xfId="9" applyBorder="1" applyAlignment="1">
      <alignment horizontal="center" wrapText="1"/>
    </xf>
    <xf numFmtId="164" fontId="0" fillId="0" borderId="2" xfId="2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0" borderId="8" xfId="0" applyNumberFormat="1" applyFont="1" applyBorder="1"/>
    <xf numFmtId="164" fontId="2" fillId="0" borderId="8" xfId="0" applyNumberFormat="1" applyFont="1" applyFill="1" applyBorder="1"/>
    <xf numFmtId="164" fontId="3" fillId="0" borderId="4" xfId="2" applyNumberFormat="1" applyFont="1" applyFill="1" applyBorder="1" applyAlignment="1">
      <alignment horizontal="right" vertical="center"/>
    </xf>
    <xf numFmtId="164" fontId="0" fillId="2" borderId="8" xfId="2" applyNumberFormat="1" applyFont="1" applyFill="1" applyBorder="1"/>
    <xf numFmtId="164" fontId="0" fillId="0" borderId="33" xfId="2" applyNumberFormat="1" applyFont="1" applyFill="1" applyBorder="1"/>
    <xf numFmtId="49" fontId="14" fillId="0" borderId="0" xfId="0" applyNumberFormat="1" applyFont="1"/>
    <xf numFmtId="49" fontId="14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0" fillId="0" borderId="0" xfId="0" applyNumberFormat="1"/>
    <xf numFmtId="49" fontId="0" fillId="0" borderId="34" xfId="0" applyNumberFormat="1" applyBorder="1" applyAlignment="1">
      <alignment horizontal="centerContinuous"/>
    </xf>
    <xf numFmtId="49" fontId="14" fillId="0" borderId="0" xfId="0" applyNumberFormat="1" applyFont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5" fillId="0" borderId="0" xfId="0" applyNumberFormat="1" applyFont="1"/>
    <xf numFmtId="166" fontId="15" fillId="0" borderId="7" xfId="0" applyNumberFormat="1" applyFont="1" applyBorder="1"/>
    <xf numFmtId="166" fontId="15" fillId="0" borderId="18" xfId="0" applyNumberFormat="1" applyFont="1" applyBorder="1"/>
    <xf numFmtId="166" fontId="15" fillId="0" borderId="21" xfId="0" applyNumberFormat="1" applyFont="1" applyBorder="1"/>
    <xf numFmtId="166" fontId="14" fillId="0" borderId="36" xfId="0" applyNumberFormat="1" applyFont="1" applyBorder="1"/>
    <xf numFmtId="0" fontId="14" fillId="0" borderId="0" xfId="0" applyFont="1"/>
    <xf numFmtId="0" fontId="14" fillId="0" borderId="0" xfId="0" applyNumberFormat="1" applyFont="1"/>
    <xf numFmtId="0" fontId="0" fillId="0" borderId="0" xfId="0" applyNumberFormat="1"/>
    <xf numFmtId="2" fontId="0" fillId="0" borderId="0" xfId="0" applyNumberFormat="1" applyBorder="1"/>
    <xf numFmtId="164" fontId="0" fillId="10" borderId="0" xfId="2" applyNumberFormat="1" applyFont="1" applyFill="1" applyBorder="1"/>
    <xf numFmtId="164" fontId="0" fillId="10" borderId="4" xfId="2" applyNumberFormat="1" applyFont="1" applyFill="1" applyBorder="1"/>
    <xf numFmtId="165" fontId="0" fillId="10" borderId="0" xfId="1" applyNumberFormat="1" applyFont="1" applyFill="1" applyBorder="1"/>
    <xf numFmtId="165" fontId="0" fillId="10" borderId="0" xfId="0" applyNumberFormat="1" applyFill="1" applyBorder="1"/>
    <xf numFmtId="164" fontId="0" fillId="2" borderId="25" xfId="0" applyNumberFormat="1" applyFill="1" applyBorder="1"/>
    <xf numFmtId="165" fontId="1" fillId="0" borderId="0" xfId="1" applyNumberFormat="1" applyFont="1" applyFill="1" applyBorder="1"/>
    <xf numFmtId="164" fontId="0" fillId="10" borderId="0" xfId="2" applyNumberFormat="1" applyFont="1" applyFill="1" applyBorder="1" applyAlignment="1">
      <alignment horizontal="right"/>
    </xf>
    <xf numFmtId="165" fontId="0" fillId="10" borderId="0" xfId="1" applyNumberFormat="1" applyFont="1" applyFill="1" applyBorder="1" applyAlignment="1">
      <alignment horizontal="right"/>
    </xf>
    <xf numFmtId="40" fontId="16" fillId="0" borderId="7" xfId="0" applyNumberFormat="1" applyFont="1" applyBorder="1" applyAlignment="1">
      <alignment horizontal="center" wrapText="1"/>
    </xf>
    <xf numFmtId="40" fontId="16" fillId="0" borderId="0" xfId="0" applyNumberFormat="1" applyFont="1" applyAlignment="1">
      <alignment horizontal="center" wrapText="1"/>
    </xf>
    <xf numFmtId="40" fontId="16" fillId="0" borderId="7" xfId="1" applyNumberFormat="1" applyFont="1" applyBorder="1" applyAlignment="1">
      <alignment horizontal="center" wrapText="1"/>
    </xf>
    <xf numFmtId="40" fontId="16" fillId="0" borderId="7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40" fontId="17" fillId="0" borderId="0" xfId="1" applyNumberFormat="1" applyFont="1"/>
    <xf numFmtId="40" fontId="17" fillId="0" borderId="0" xfId="0" applyNumberFormat="1" applyFont="1"/>
    <xf numFmtId="0" fontId="17" fillId="0" borderId="0" xfId="0" applyFont="1"/>
    <xf numFmtId="164" fontId="2" fillId="10" borderId="7" xfId="0" applyNumberFormat="1" applyFont="1" applyFill="1" applyBorder="1"/>
    <xf numFmtId="164" fontId="2" fillId="10" borderId="8" xfId="2" applyNumberFormat="1" applyFont="1" applyFill="1" applyBorder="1"/>
    <xf numFmtId="165" fontId="1" fillId="0" borderId="3" xfId="1" applyNumberFormat="1" applyFont="1" applyFill="1" applyBorder="1" applyAlignment="1">
      <alignment horizontal="center"/>
    </xf>
    <xf numFmtId="164" fontId="2" fillId="0" borderId="12" xfId="2" applyNumberFormat="1" applyFont="1" applyFill="1" applyBorder="1" applyAlignment="1">
      <alignment horizontal="center"/>
    </xf>
    <xf numFmtId="164" fontId="1" fillId="0" borderId="5" xfId="2" applyNumberFormat="1" applyFont="1" applyFill="1" applyBorder="1" applyAlignment="1">
      <alignment horizontal="center"/>
    </xf>
    <xf numFmtId="164" fontId="2" fillId="0" borderId="8" xfId="2" applyNumberFormat="1" applyFont="1" applyFill="1" applyBorder="1"/>
    <xf numFmtId="165" fontId="0" fillId="0" borderId="4" xfId="1" applyNumberFormat="1" applyFont="1" applyFill="1" applyBorder="1"/>
    <xf numFmtId="4" fontId="0" fillId="0" borderId="0" xfId="0" applyNumberFormat="1"/>
    <xf numFmtId="168" fontId="0" fillId="0" borderId="0" xfId="0" applyNumberFormat="1"/>
    <xf numFmtId="164" fontId="2" fillId="0" borderId="28" xfId="2" applyNumberFormat="1" applyFont="1" applyFill="1" applyBorder="1"/>
    <xf numFmtId="164" fontId="2" fillId="0" borderId="22" xfId="2" applyNumberFormat="1" applyFont="1" applyFill="1" applyBorder="1"/>
    <xf numFmtId="49" fontId="14" fillId="0" borderId="34" xfId="0" applyNumberFormat="1" applyFont="1" applyBorder="1" applyAlignment="1">
      <alignment horizontal="center"/>
    </xf>
    <xf numFmtId="44" fontId="0" fillId="0" borderId="0" xfId="0" applyNumberFormat="1" applyBorder="1"/>
    <xf numFmtId="0" fontId="10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10" fillId="2" borderId="0" xfId="0" applyNumberFormat="1" applyFont="1" applyFill="1" applyBorder="1"/>
    <xf numFmtId="165" fontId="10" fillId="2" borderId="0" xfId="1" applyNumberFormat="1" applyFont="1" applyFill="1" applyBorder="1"/>
    <xf numFmtId="0" fontId="8" fillId="2" borderId="0" xfId="0" applyFont="1" applyFill="1" applyBorder="1"/>
    <xf numFmtId="164" fontId="10" fillId="2" borderId="0" xfId="2" applyNumberFormat="1" applyFont="1" applyFill="1" applyBorder="1"/>
    <xf numFmtId="165" fontId="8" fillId="2" borderId="0" xfId="1" applyNumberFormat="1" applyFont="1" applyFill="1" applyBorder="1"/>
    <xf numFmtId="164" fontId="8" fillId="2" borderId="0" xfId="0" applyNumberFormat="1" applyFont="1" applyFill="1" applyBorder="1"/>
    <xf numFmtId="165" fontId="10" fillId="2" borderId="0" xfId="0" applyNumberFormat="1" applyFont="1" applyFill="1" applyBorder="1"/>
    <xf numFmtId="165" fontId="8" fillId="2" borderId="0" xfId="0" applyNumberFormat="1" applyFont="1" applyFill="1" applyBorder="1"/>
    <xf numFmtId="9" fontId="0" fillId="0" borderId="0" xfId="3" applyFont="1"/>
    <xf numFmtId="44" fontId="0" fillId="0" borderId="0" xfId="0" applyNumberFormat="1" applyFill="1"/>
    <xf numFmtId="165" fontId="2" fillId="2" borderId="28" xfId="1" applyNumberFormat="1" applyFont="1" applyFill="1" applyBorder="1"/>
    <xf numFmtId="164" fontId="0" fillId="2" borderId="14" xfId="0" applyNumberFormat="1" applyFill="1" applyBorder="1"/>
    <xf numFmtId="0" fontId="2" fillId="2" borderId="31" xfId="0" applyFont="1" applyFill="1" applyBorder="1" applyAlignment="1">
      <alignment horizontal="center" wrapText="1"/>
    </xf>
    <xf numFmtId="164" fontId="2" fillId="2" borderId="26" xfId="2" applyNumberFormat="1" applyFont="1" applyFill="1" applyBorder="1"/>
    <xf numFmtId="164" fontId="0" fillId="2" borderId="28" xfId="0" applyNumberFormat="1" applyFill="1" applyBorder="1"/>
    <xf numFmtId="164" fontId="0" fillId="0" borderId="5" xfId="2" applyNumberFormat="1" applyFont="1" applyBorder="1"/>
    <xf numFmtId="164" fontId="0" fillId="0" borderId="3" xfId="2" applyNumberFormat="1" applyFont="1" applyBorder="1"/>
    <xf numFmtId="164" fontId="0" fillId="0" borderId="14" xfId="2" applyNumberFormat="1" applyFont="1" applyBorder="1"/>
    <xf numFmtId="164" fontId="0" fillId="0" borderId="14" xfId="2" applyNumberFormat="1" applyFont="1" applyFill="1" applyBorder="1"/>
    <xf numFmtId="164" fontId="3" fillId="0" borderId="3" xfId="2" applyNumberFormat="1" applyFont="1" applyBorder="1" applyAlignment="1">
      <alignment horizontal="right" vertical="center"/>
    </xf>
    <xf numFmtId="164" fontId="0" fillId="0" borderId="12" xfId="2" applyNumberFormat="1" applyFont="1" applyFill="1" applyBorder="1"/>
    <xf numFmtId="0" fontId="2" fillId="2" borderId="28" xfId="0" applyFont="1" applyFill="1" applyBorder="1"/>
    <xf numFmtId="164" fontId="0" fillId="2" borderId="37" xfId="2" applyNumberFormat="1" applyFont="1" applyFill="1" applyBorder="1"/>
    <xf numFmtId="164" fontId="0" fillId="2" borderId="11" xfId="2" applyNumberFormat="1" applyFont="1" applyFill="1" applyBorder="1"/>
    <xf numFmtId="0" fontId="0" fillId="2" borderId="11" xfId="0" applyFill="1" applyBorder="1"/>
    <xf numFmtId="164" fontId="3" fillId="2" borderId="11" xfId="2" applyNumberFormat="1" applyFont="1" applyFill="1" applyBorder="1" applyAlignment="1">
      <alignment horizontal="right" vertical="center"/>
    </xf>
    <xf numFmtId="164" fontId="2" fillId="2" borderId="16" xfId="0" applyNumberFormat="1" applyFont="1" applyFill="1" applyBorder="1"/>
    <xf numFmtId="165" fontId="2" fillId="2" borderId="29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2" xfId="0" applyFont="1" applyFill="1" applyBorder="1"/>
    <xf numFmtId="164" fontId="2" fillId="2" borderId="16" xfId="2" applyNumberFormat="1" applyFont="1" applyFill="1" applyBorder="1"/>
    <xf numFmtId="165" fontId="0" fillId="2" borderId="29" xfId="0" applyNumberFormat="1" applyFill="1" applyBorder="1"/>
    <xf numFmtId="0" fontId="2" fillId="2" borderId="5" xfId="0" applyFont="1" applyFill="1" applyBorder="1" applyAlignment="1">
      <alignment horizontal="center" wrapText="1"/>
    </xf>
    <xf numFmtId="165" fontId="0" fillId="2" borderId="3" xfId="0" applyNumberFormat="1" applyFill="1" applyBorder="1"/>
    <xf numFmtId="165" fontId="2" fillId="2" borderId="14" xfId="0" applyNumberFormat="1" applyFont="1" applyFill="1" applyBorder="1"/>
    <xf numFmtId="164" fontId="2" fillId="2" borderId="38" xfId="0" applyNumberFormat="1" applyFont="1" applyFill="1" applyBorder="1"/>
    <xf numFmtId="165" fontId="2" fillId="2" borderId="25" xfId="0" applyNumberFormat="1" applyFont="1" applyFill="1" applyBorder="1"/>
    <xf numFmtId="165" fontId="0" fillId="2" borderId="11" xfId="1" applyNumberFormat="1" applyFont="1" applyFill="1" applyBorder="1"/>
    <xf numFmtId="165" fontId="0" fillId="2" borderId="40" xfId="1" applyNumberFormat="1" applyFont="1" applyFill="1" applyBorder="1"/>
    <xf numFmtId="165" fontId="2" fillId="2" borderId="40" xfId="1" applyNumberFormat="1" applyFont="1" applyFill="1" applyBorder="1"/>
    <xf numFmtId="165" fontId="1" fillId="2" borderId="11" xfId="1" applyNumberFormat="1" applyFont="1" applyFill="1" applyBorder="1"/>
    <xf numFmtId="165" fontId="2" fillId="2" borderId="42" xfId="1" applyNumberFormat="1" applyFont="1" applyFill="1" applyBorder="1"/>
    <xf numFmtId="165" fontId="2" fillId="0" borderId="29" xfId="1" applyNumberFormat="1" applyFont="1" applyFill="1" applyBorder="1"/>
    <xf numFmtId="164" fontId="1" fillId="2" borderId="11" xfId="2" applyNumberFormat="1" applyFont="1" applyFill="1" applyBorder="1"/>
    <xf numFmtId="165" fontId="0" fillId="0" borderId="11" xfId="0" applyNumberFormat="1" applyFill="1" applyBorder="1"/>
    <xf numFmtId="164" fontId="2" fillId="2" borderId="25" xfId="0" applyNumberFormat="1" applyFont="1" applyFill="1" applyBorder="1"/>
    <xf numFmtId="9" fontId="9" fillId="2" borderId="0" xfId="3" applyFont="1" applyFill="1" applyBorder="1"/>
    <xf numFmtId="164" fontId="0" fillId="2" borderId="26" xfId="0" applyNumberFormat="1" applyFill="1" applyBorder="1"/>
    <xf numFmtId="165" fontId="0" fillId="2" borderId="26" xfId="0" applyNumberFormat="1" applyFill="1" applyBorder="1"/>
    <xf numFmtId="164" fontId="2" fillId="2" borderId="39" xfId="0" applyNumberFormat="1" applyFont="1" applyFill="1" applyBorder="1"/>
    <xf numFmtId="164" fontId="0" fillId="2" borderId="40" xfId="2" applyNumberFormat="1" applyFont="1" applyFill="1" applyBorder="1"/>
    <xf numFmtId="164" fontId="2" fillId="2" borderId="28" xfId="0" applyNumberFormat="1" applyFont="1" applyFill="1" applyBorder="1"/>
    <xf numFmtId="0" fontId="0" fillId="0" borderId="0" xfId="0" applyAlignment="1">
      <alignment horizontal="center"/>
    </xf>
    <xf numFmtId="0" fontId="20" fillId="2" borderId="0" xfId="0" applyFont="1" applyFill="1"/>
    <xf numFmtId="164" fontId="0" fillId="0" borderId="5" xfId="2" applyNumberFormat="1" applyFont="1" applyFill="1" applyBorder="1"/>
    <xf numFmtId="164" fontId="13" fillId="2" borderId="0" xfId="0" applyNumberFormat="1" applyFont="1" applyFill="1" applyBorder="1"/>
    <xf numFmtId="0" fontId="0" fillId="0" borderId="0" xfId="0"/>
    <xf numFmtId="0" fontId="14" fillId="0" borderId="0" xfId="0" applyNumberFormat="1" applyFont="1"/>
    <xf numFmtId="49" fontId="14" fillId="0" borderId="0" xfId="0" applyNumberFormat="1" applyFont="1"/>
    <xf numFmtId="166" fontId="15" fillId="0" borderId="0" xfId="0" applyNumberFormat="1" applyFont="1" applyBorder="1"/>
    <xf numFmtId="166" fontId="15" fillId="0" borderId="0" xfId="0" applyNumberFormat="1" applyFont="1" applyFill="1"/>
    <xf numFmtId="0" fontId="0" fillId="0" borderId="0" xfId="0" applyBorder="1"/>
    <xf numFmtId="40" fontId="15" fillId="0" borderId="0" xfId="0" applyNumberFormat="1" applyFont="1"/>
    <xf numFmtId="40" fontId="17" fillId="0" borderId="0" xfId="1" applyNumberFormat="1" applyFont="1"/>
    <xf numFmtId="40" fontId="17" fillId="0" borderId="0" xfId="0" applyNumberFormat="1" applyFont="1"/>
    <xf numFmtId="40" fontId="15" fillId="0" borderId="7" xfId="0" applyNumberFormat="1" applyFont="1" applyBorder="1"/>
    <xf numFmtId="40" fontId="15" fillId="0" borderId="0" xfId="0" applyNumberFormat="1" applyFont="1" applyBorder="1"/>
    <xf numFmtId="40" fontId="17" fillId="0" borderId="7" xfId="1" applyNumberFormat="1" applyFont="1" applyBorder="1"/>
    <xf numFmtId="40" fontId="17" fillId="0" borderId="7" xfId="0" applyNumberFormat="1" applyFont="1" applyBorder="1"/>
    <xf numFmtId="40" fontId="15" fillId="0" borderId="18" xfId="0" applyNumberFormat="1" applyFont="1" applyBorder="1"/>
    <xf numFmtId="40" fontId="14" fillId="0" borderId="0" xfId="0" applyNumberFormat="1" applyFont="1" applyBorder="1"/>
    <xf numFmtId="40" fontId="16" fillId="0" borderId="0" xfId="0" applyNumberFormat="1" applyFont="1"/>
    <xf numFmtId="166" fontId="15" fillId="0" borderId="0" xfId="0" applyNumberFormat="1" applyFont="1"/>
    <xf numFmtId="40" fontId="15" fillId="0" borderId="21" xfId="0" applyNumberFormat="1" applyFont="1" applyBorder="1"/>
    <xf numFmtId="40" fontId="17" fillId="0" borderId="0" xfId="0" applyNumberFormat="1" applyFont="1" applyBorder="1"/>
    <xf numFmtId="40" fontId="16" fillId="0" borderId="0" xfId="0" applyNumberFormat="1" applyFont="1" applyBorder="1"/>
    <xf numFmtId="40" fontId="14" fillId="0" borderId="7" xfId="0" applyNumberFormat="1" applyFont="1" applyBorder="1"/>
    <xf numFmtId="40" fontId="16" fillId="0" borderId="7" xfId="0" applyNumberFormat="1" applyFont="1" applyBorder="1"/>
    <xf numFmtId="40" fontId="17" fillId="0" borderId="0" xfId="1" applyNumberFormat="1" applyFont="1" applyBorder="1"/>
    <xf numFmtId="166" fontId="17" fillId="0" borderId="26" xfId="1" applyNumberFormat="1" applyFont="1" applyBorder="1"/>
    <xf numFmtId="43" fontId="0" fillId="0" borderId="0" xfId="0" applyNumberFormat="1"/>
    <xf numFmtId="164" fontId="0" fillId="0" borderId="0" xfId="0" applyNumberFormat="1" applyFont="1" applyFill="1"/>
    <xf numFmtId="0" fontId="0" fillId="0" borderId="0" xfId="0" applyFont="1" applyFill="1"/>
    <xf numFmtId="165" fontId="0" fillId="0" borderId="0" xfId="0" applyNumberFormat="1" applyFont="1" applyFill="1"/>
    <xf numFmtId="0" fontId="2" fillId="0" borderId="6" xfId="0" applyFont="1" applyFill="1" applyBorder="1"/>
    <xf numFmtId="164" fontId="0" fillId="0" borderId="29" xfId="0" applyNumberFormat="1" applyFill="1" applyBorder="1"/>
    <xf numFmtId="164" fontId="0" fillId="0" borderId="28" xfId="0" applyNumberFormat="1" applyFill="1" applyBorder="1"/>
    <xf numFmtId="170" fontId="0" fillId="0" borderId="0" xfId="0" applyNumberFormat="1" applyFill="1"/>
    <xf numFmtId="165" fontId="0" fillId="0" borderId="0" xfId="0" applyNumberFormat="1" applyFill="1"/>
    <xf numFmtId="0" fontId="20" fillId="0" borderId="0" xfId="0" applyFont="1" applyFill="1" applyBorder="1"/>
    <xf numFmtId="0" fontId="7" fillId="0" borderId="0" xfId="0" applyFont="1" applyFill="1"/>
    <xf numFmtId="0" fontId="2" fillId="0" borderId="18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164" fontId="0" fillId="0" borderId="20" xfId="0" applyNumberFormat="1" applyFill="1" applyBorder="1"/>
    <xf numFmtId="164" fontId="0" fillId="0" borderId="31" xfId="2" applyNumberFormat="1" applyFont="1" applyFill="1" applyBorder="1"/>
    <xf numFmtId="164" fontId="0" fillId="0" borderId="26" xfId="2" applyNumberFormat="1" applyFont="1" applyFill="1" applyBorder="1"/>
    <xf numFmtId="164" fontId="0" fillId="0" borderId="11" xfId="0" applyNumberFormat="1" applyFill="1" applyBorder="1"/>
    <xf numFmtId="164" fontId="0" fillId="0" borderId="41" xfId="2" applyNumberFormat="1" applyFont="1" applyFill="1" applyBorder="1"/>
    <xf numFmtId="164" fontId="0" fillId="0" borderId="27" xfId="2" applyNumberFormat="1" applyFont="1" applyFill="1" applyBorder="1"/>
    <xf numFmtId="164" fontId="0" fillId="0" borderId="26" xfId="0" applyNumberFormat="1" applyFill="1" applyBorder="1"/>
    <xf numFmtId="164" fontId="0" fillId="0" borderId="2" xfId="2" applyNumberFormat="1" applyFont="1" applyFill="1" applyBorder="1"/>
    <xf numFmtId="164" fontId="0" fillId="0" borderId="16" xfId="0" applyNumberFormat="1" applyFill="1" applyBorder="1"/>
    <xf numFmtId="164" fontId="0" fillId="0" borderId="27" xfId="0" applyNumberFormat="1" applyFill="1" applyBorder="1"/>
    <xf numFmtId="164" fontId="0" fillId="0" borderId="41" xfId="0" applyNumberFormat="1" applyFill="1" applyBorder="1"/>
    <xf numFmtId="164" fontId="2" fillId="0" borderId="27" xfId="0" applyNumberFormat="1" applyFont="1" applyFill="1" applyBorder="1"/>
    <xf numFmtId="164" fontId="2" fillId="0" borderId="16" xfId="0" applyNumberFormat="1" applyFont="1" applyFill="1" applyBorder="1"/>
    <xf numFmtId="0" fontId="0" fillId="0" borderId="26" xfId="0" applyFill="1" applyBorder="1"/>
    <xf numFmtId="0" fontId="0" fillId="0" borderId="11" xfId="0" applyFill="1" applyBorder="1"/>
    <xf numFmtId="0" fontId="2" fillId="0" borderId="2" xfId="0" applyFont="1" applyFill="1" applyBorder="1"/>
    <xf numFmtId="164" fontId="0" fillId="0" borderId="11" xfId="2" applyNumberFormat="1" applyFont="1" applyFill="1" applyBorder="1"/>
    <xf numFmtId="165" fontId="0" fillId="0" borderId="2" xfId="1" applyNumberFormat="1" applyFont="1" applyFill="1" applyBorder="1"/>
    <xf numFmtId="164" fontId="2" fillId="0" borderId="38" xfId="2" applyNumberFormat="1" applyFont="1" applyFill="1" applyBorder="1"/>
    <xf numFmtId="164" fontId="2" fillId="0" borderId="39" xfId="0" applyNumberFormat="1" applyFont="1" applyFill="1" applyBorder="1"/>
    <xf numFmtId="164" fontId="0" fillId="0" borderId="0" xfId="0" applyNumberFormat="1" applyFill="1"/>
    <xf numFmtId="164" fontId="2" fillId="0" borderId="30" xfId="2" applyNumberFormat="1" applyFont="1" applyFill="1" applyBorder="1"/>
    <xf numFmtId="164" fontId="2" fillId="0" borderId="24" xfId="2" applyNumberFormat="1" applyFont="1" applyFill="1" applyBorder="1"/>
    <xf numFmtId="165" fontId="2" fillId="0" borderId="23" xfId="1" applyNumberFormat="1" applyFont="1" applyFill="1" applyBorder="1"/>
    <xf numFmtId="0" fontId="7" fillId="0" borderId="0" xfId="0" applyFont="1" applyFill="1" applyBorder="1"/>
    <xf numFmtId="164" fontId="1" fillId="0" borderId="2" xfId="2" applyNumberFormat="1" applyFont="1" applyFill="1" applyBorder="1"/>
    <xf numFmtId="164" fontId="1" fillId="0" borderId="26" xfId="2" applyNumberFormat="1" applyFont="1" applyFill="1" applyBorder="1"/>
    <xf numFmtId="0" fontId="2" fillId="0" borderId="21" xfId="0" applyFont="1" applyFill="1" applyBorder="1" applyAlignment="1">
      <alignment horizontal="center" wrapText="1"/>
    </xf>
    <xf numFmtId="164" fontId="0" fillId="0" borderId="30" xfId="2" applyNumberFormat="1" applyFont="1" applyFill="1" applyBorder="1"/>
    <xf numFmtId="164" fontId="2" fillId="0" borderId="6" xfId="2" applyNumberFormat="1" applyFont="1" applyFill="1" applyBorder="1"/>
    <xf numFmtId="164" fontId="2" fillId="0" borderId="12" xfId="2" applyNumberFormat="1" applyFont="1" applyFill="1" applyBorder="1"/>
    <xf numFmtId="164" fontId="0" fillId="4" borderId="26" xfId="2" applyNumberFormat="1" applyFont="1" applyFill="1" applyBorder="1"/>
    <xf numFmtId="164" fontId="0" fillId="6" borderId="0" xfId="2" applyNumberFormat="1" applyFont="1" applyFill="1" applyBorder="1"/>
    <xf numFmtId="166" fontId="14" fillId="0" borderId="0" xfId="0" applyNumberFormat="1" applyFont="1" applyBorder="1"/>
    <xf numFmtId="166" fontId="15" fillId="3" borderId="0" xfId="0" applyNumberFormat="1" applyFont="1" applyFill="1"/>
    <xf numFmtId="0" fontId="0" fillId="0" borderId="0" xfId="0"/>
    <xf numFmtId="0" fontId="14" fillId="0" borderId="0" xfId="0" applyNumberFormat="1" applyFont="1"/>
    <xf numFmtId="0" fontId="0" fillId="0" borderId="0" xfId="0" applyNumberFormat="1"/>
    <xf numFmtId="49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4" fillId="0" borderId="0" xfId="0" applyNumberFormat="1" applyFont="1"/>
    <xf numFmtId="166" fontId="15" fillId="0" borderId="0" xfId="0" applyNumberFormat="1" applyFont="1" applyBorder="1"/>
    <xf numFmtId="166" fontId="15" fillId="0" borderId="0" xfId="0" applyNumberFormat="1" applyFont="1" applyFill="1"/>
    <xf numFmtId="166" fontId="15" fillId="0" borderId="0" xfId="0" applyNumberFormat="1" applyFont="1"/>
    <xf numFmtId="166" fontId="15" fillId="4" borderId="0" xfId="0" applyNumberFormat="1" applyFont="1" applyFill="1"/>
    <xf numFmtId="166" fontId="15" fillId="6" borderId="0" xfId="0" applyNumberFormat="1" applyFont="1" applyFill="1"/>
    <xf numFmtId="4" fontId="14" fillId="0" borderId="0" xfId="0" applyNumberFormat="1" applyFont="1"/>
    <xf numFmtId="170" fontId="2" fillId="2" borderId="0" xfId="1" applyNumberFormat="1" applyFont="1" applyFill="1" applyBorder="1"/>
    <xf numFmtId="164" fontId="1" fillId="4" borderId="26" xfId="2" applyNumberFormat="1" applyFont="1" applyFill="1" applyBorder="1"/>
    <xf numFmtId="0" fontId="0" fillId="0" borderId="2" xfId="0" applyFont="1" applyBorder="1"/>
    <xf numFmtId="0" fontId="0" fillId="0" borderId="0" xfId="0" applyFill="1" applyAlignment="1">
      <alignment horizontal="center"/>
    </xf>
    <xf numFmtId="0" fontId="14" fillId="0" borderId="0" xfId="0" applyFont="1" applyFill="1"/>
    <xf numFmtId="0" fontId="14" fillId="0" borderId="0" xfId="0" applyNumberFormat="1" applyFont="1" applyFill="1"/>
    <xf numFmtId="0" fontId="0" fillId="0" borderId="0" xfId="0" applyNumberFormat="1" applyFill="1"/>
    <xf numFmtId="165" fontId="0" fillId="0" borderId="0" xfId="1" applyNumberFormat="1" applyFont="1" applyFill="1"/>
    <xf numFmtId="43" fontId="0" fillId="0" borderId="0" xfId="1" applyFont="1" applyFill="1"/>
    <xf numFmtId="169" fontId="0" fillId="0" borderId="0" xfId="0" applyNumberFormat="1" applyFill="1"/>
    <xf numFmtId="164" fontId="0" fillId="0" borderId="21" xfId="2" applyNumberFormat="1" applyFont="1" applyFill="1" applyBorder="1"/>
    <xf numFmtId="0" fontId="12" fillId="6" borderId="0" xfId="0" applyFont="1" applyFill="1" applyBorder="1"/>
    <xf numFmtId="165" fontId="12" fillId="6" borderId="0" xfId="1" applyNumberFormat="1" applyFont="1" applyFill="1" applyBorder="1"/>
    <xf numFmtId="0" fontId="10" fillId="4" borderId="0" xfId="0" applyFont="1" applyFill="1" applyBorder="1"/>
    <xf numFmtId="0" fontId="12" fillId="4" borderId="0" xfId="0" applyFont="1" applyFill="1" applyBorder="1"/>
    <xf numFmtId="165" fontId="10" fillId="4" borderId="0" xfId="1" applyNumberFormat="1" applyFont="1" applyFill="1" applyBorder="1"/>
    <xf numFmtId="165" fontId="10" fillId="4" borderId="0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0" fontId="0" fillId="0" borderId="20" xfId="0" applyBorder="1"/>
    <xf numFmtId="0" fontId="0" fillId="0" borderId="21" xfId="0" applyBorder="1"/>
    <xf numFmtId="164" fontId="0" fillId="0" borderId="4" xfId="0" applyNumberFormat="1" applyBorder="1"/>
    <xf numFmtId="164" fontId="0" fillId="0" borderId="0" xfId="2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5" borderId="4" xfId="0" applyNumberFormat="1" applyFill="1" applyBorder="1"/>
    <xf numFmtId="0" fontId="0" fillId="0" borderId="8" xfId="0" applyBorder="1"/>
    <xf numFmtId="164" fontId="0" fillId="4" borderId="4" xfId="0" applyNumberFormat="1" applyFill="1" applyBorder="1"/>
    <xf numFmtId="49" fontId="14" fillId="0" borderId="0" xfId="0" applyNumberFormat="1" applyFont="1"/>
    <xf numFmtId="166" fontId="0" fillId="0" borderId="0" xfId="0" applyNumberFormat="1" applyFill="1"/>
    <xf numFmtId="4" fontId="0" fillId="0" borderId="0" xfId="0" applyNumberFormat="1" applyFill="1"/>
    <xf numFmtId="44" fontId="0" fillId="2" borderId="0" xfId="0" applyNumberFormat="1" applyFill="1"/>
    <xf numFmtId="43" fontId="2" fillId="2" borderId="0" xfId="1" applyNumberFormat="1" applyFont="1" applyFill="1" applyBorder="1"/>
    <xf numFmtId="44" fontId="0" fillId="0" borderId="0" xfId="0" applyNumberFormat="1" applyFill="1" applyBorder="1"/>
    <xf numFmtId="164" fontId="0" fillId="4" borderId="11" xfId="2" applyNumberFormat="1" applyFont="1" applyFill="1" applyBorder="1"/>
    <xf numFmtId="164" fontId="0" fillId="12" borderId="37" xfId="0" applyNumberFormat="1" applyFill="1" applyBorder="1"/>
    <xf numFmtId="0" fontId="0" fillId="12" borderId="0" xfId="0" applyFill="1" applyBorder="1"/>
    <xf numFmtId="0" fontId="12" fillId="0" borderId="0" xfId="0" applyFont="1" applyFill="1" applyBorder="1"/>
    <xf numFmtId="0" fontId="2" fillId="7" borderId="21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165" fontId="1" fillId="13" borderId="11" xfId="1" applyNumberFormat="1" applyFont="1" applyFill="1" applyBorder="1"/>
    <xf numFmtId="0" fontId="12" fillId="13" borderId="0" xfId="0" applyFont="1" applyFill="1" applyBorder="1"/>
    <xf numFmtId="164" fontId="12" fillId="13" borderId="0" xfId="2" applyNumberFormat="1" applyFont="1" applyFill="1" applyBorder="1"/>
  </cellXfs>
  <cellStyles count="67">
    <cellStyle name="Comma" xfId="1" builtinId="3"/>
    <cellStyle name="Comma 2" xfId="17"/>
    <cellStyle name="Comma 2 2" xfId="22"/>
    <cellStyle name="Comma 2 2 2" xfId="23"/>
    <cellStyle name="Comma 2 3" xfId="24"/>
    <cellStyle name="Comma 3" xfId="19"/>
    <cellStyle name="Comma 4" xfId="4"/>
    <cellStyle name="Comma 5" xfId="12"/>
    <cellStyle name="Comma 5 2" xfId="14"/>
    <cellStyle name="Currency" xfId="2" builtinId="4"/>
    <cellStyle name="Currency 2" xfId="5"/>
    <cellStyle name="Currency 3" xfId="6"/>
    <cellStyle name="Currency 3 2" xfId="7"/>
    <cellStyle name="Currency 4" xfId="25"/>
    <cellStyle name="Currency 5" xfId="26"/>
    <cellStyle name="Currency 6" xfId="11"/>
    <cellStyle name="Currency 6 2" xfId="13"/>
    <cellStyle name="Normal" xfId="0" builtinId="0"/>
    <cellStyle name="Normal 10" xfId="27"/>
    <cellStyle name="Normal 10 2" xfId="28"/>
    <cellStyle name="Normal 11" xfId="29"/>
    <cellStyle name="Normal 11 2" xfId="30"/>
    <cellStyle name="Normal 12" xfId="31"/>
    <cellStyle name="Normal 12 2" xfId="32"/>
    <cellStyle name="Normal 13" xfId="33"/>
    <cellStyle name="Normal 13 2" xfId="34"/>
    <cellStyle name="Normal 14" xfId="35"/>
    <cellStyle name="Normal 14 2" xfId="36"/>
    <cellStyle name="Normal 15" xfId="37"/>
    <cellStyle name="Normal 15 2" xfId="38"/>
    <cellStyle name="Normal 16" xfId="39"/>
    <cellStyle name="Normal 16 2" xfId="40"/>
    <cellStyle name="Normal 17" xfId="41"/>
    <cellStyle name="Normal 17 2" xfId="42"/>
    <cellStyle name="Normal 18" xfId="43"/>
    <cellStyle name="Normal 18 2" xfId="44"/>
    <cellStyle name="Normal 19" xfId="45"/>
    <cellStyle name="Normal 19 2" xfId="46"/>
    <cellStyle name="Normal 2" xfId="8"/>
    <cellStyle name="Normal 2 2" xfId="47"/>
    <cellStyle name="Normal 20" xfId="16"/>
    <cellStyle name="Normal 20 2" xfId="48"/>
    <cellStyle name="Normal 20 2 2" xfId="49"/>
    <cellStyle name="Normal 20 3" xfId="50"/>
    <cellStyle name="Normal 21" xfId="51"/>
    <cellStyle name="Normal 22" xfId="52"/>
    <cellStyle name="Normal 23" xfId="10"/>
    <cellStyle name="Normal 23 2" xfId="9"/>
    <cellStyle name="Normal 24" xfId="53"/>
    <cellStyle name="Normal 3" xfId="15"/>
    <cellStyle name="Normal 3 2" xfId="54"/>
    <cellStyle name="Normal 4" xfId="20"/>
    <cellStyle name="Normal 4 2" xfId="55"/>
    <cellStyle name="Normal 5" xfId="56"/>
    <cellStyle name="Normal 5 2" xfId="57"/>
    <cellStyle name="Normal 6" xfId="58"/>
    <cellStyle name="Normal 6 2" xfId="59"/>
    <cellStyle name="Normal 7" xfId="60"/>
    <cellStyle name="Normal 7 2" xfId="61"/>
    <cellStyle name="Normal 8" xfId="62"/>
    <cellStyle name="Normal 8 2" xfId="63"/>
    <cellStyle name="Normal 9" xfId="64"/>
    <cellStyle name="Normal 9 2" xfId="65"/>
    <cellStyle name="Percent" xfId="3" builtinId="5"/>
    <cellStyle name="Percent 2" xfId="18"/>
    <cellStyle name="Percent 3" xfId="21"/>
    <cellStyle name="Percent 3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'LWVC-Stmt of Fin. Postn. by Mth'!$H$1:$AD$1</c:f>
              <c:strCache>
                <c:ptCount val="23"/>
                <c:pt idx="0">
                  <c:v>Dec 31, 18</c:v>
                </c:pt>
                <c:pt idx="2">
                  <c:v>Jan 31, 19</c:v>
                </c:pt>
                <c:pt idx="4">
                  <c:v>Feb 28, 19</c:v>
                </c:pt>
                <c:pt idx="6">
                  <c:v>Mar 31, 19</c:v>
                </c:pt>
                <c:pt idx="8">
                  <c:v>Apr 30, 19</c:v>
                </c:pt>
                <c:pt idx="10">
                  <c:v>May 31, 19</c:v>
                </c:pt>
                <c:pt idx="12">
                  <c:v>Jun 30, 19</c:v>
                </c:pt>
                <c:pt idx="14">
                  <c:v>Jul 31, 19</c:v>
                </c:pt>
                <c:pt idx="16">
                  <c:v>Aug 31, 19</c:v>
                </c:pt>
                <c:pt idx="18">
                  <c:v>Sep 30, 19</c:v>
                </c:pt>
                <c:pt idx="20">
                  <c:v>Oct 31, 19</c:v>
                </c:pt>
                <c:pt idx="22">
                  <c:v>Nov 30, 19</c:v>
                </c:pt>
              </c:strCache>
            </c:strRef>
          </c:cat>
          <c:val>
            <c:numRef>
              <c:f>'LWVC-Stmt of Fin. Postn. by Mth'!$H$14:$AD$14</c:f>
              <c:numCache>
                <c:formatCode>@</c:formatCode>
                <c:ptCount val="23"/>
                <c:pt idx="0" formatCode="#,##0.00;\-#,##0.00">
                  <c:v>170750.39</c:v>
                </c:pt>
                <c:pt idx="2" formatCode="#,##0.00;\-#,##0.00">
                  <c:v>155970.64000000001</c:v>
                </c:pt>
                <c:pt idx="4" formatCode="#,##0.00;\-#,##0.00">
                  <c:v>122260.28</c:v>
                </c:pt>
                <c:pt idx="6" formatCode="#,##0.00;\-#,##0.00">
                  <c:v>229734.43</c:v>
                </c:pt>
                <c:pt idx="8" formatCode="#,##0.00;\-#,##0.00">
                  <c:v>259544.88</c:v>
                </c:pt>
                <c:pt idx="10" formatCode="#,##0.00;\-#,##0.00">
                  <c:v>195102.03</c:v>
                </c:pt>
                <c:pt idx="12" formatCode="#,##0.00;\-#,##0.00">
                  <c:v>194806.54</c:v>
                </c:pt>
                <c:pt idx="14" formatCode="#,##0.00;\-#,##0.00">
                  <c:v>184736.3</c:v>
                </c:pt>
                <c:pt idx="16" formatCode="#,##0.00;\-#,##0.00">
                  <c:v>163200.28</c:v>
                </c:pt>
                <c:pt idx="18" formatCode="#,##0.00;\-#,##0.00">
                  <c:v>123135.28</c:v>
                </c:pt>
                <c:pt idx="20" formatCode="#,##0.00;\-#,##0.00">
                  <c:v>194555.61</c:v>
                </c:pt>
                <c:pt idx="22" formatCode="#,##0.00;\-#,##0.00">
                  <c:v>167840.79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23840"/>
        <c:axId val="266325376"/>
      </c:barChart>
      <c:catAx>
        <c:axId val="266323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66325376"/>
        <c:crosses val="autoZero"/>
        <c:auto val="1"/>
        <c:lblAlgn val="ctr"/>
        <c:lblOffset val="100"/>
        <c:noMultiLvlLbl val="0"/>
      </c:catAx>
      <c:valAx>
        <c:axId val="266325376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26632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'LWVCEF-Stmt of Fin. Pos. by mth'!$H$1:$AD$1</c:f>
              <c:strCache>
                <c:ptCount val="23"/>
                <c:pt idx="0">
                  <c:v>Dec 31, 18</c:v>
                </c:pt>
                <c:pt idx="2">
                  <c:v>Jan 31, 19</c:v>
                </c:pt>
                <c:pt idx="4">
                  <c:v>Feb 28, 19</c:v>
                </c:pt>
                <c:pt idx="6">
                  <c:v>Mar 31, 19</c:v>
                </c:pt>
                <c:pt idx="8">
                  <c:v>Apr 30, 19</c:v>
                </c:pt>
                <c:pt idx="10">
                  <c:v>May 31, 19</c:v>
                </c:pt>
                <c:pt idx="12">
                  <c:v>Jun 30, 19</c:v>
                </c:pt>
                <c:pt idx="14">
                  <c:v>Jul 31, 19</c:v>
                </c:pt>
                <c:pt idx="16">
                  <c:v>Aug 31, 19</c:v>
                </c:pt>
                <c:pt idx="18">
                  <c:v>Sep 30, 19</c:v>
                </c:pt>
                <c:pt idx="20">
                  <c:v>Oct 31, 19</c:v>
                </c:pt>
                <c:pt idx="22">
                  <c:v>Nov 30, 19</c:v>
                </c:pt>
              </c:strCache>
            </c:strRef>
          </c:cat>
          <c:val>
            <c:numRef>
              <c:f>'LWVCEF-Stmt of Fin. Pos. by mth'!$H$16:$AD$16</c:f>
              <c:numCache>
                <c:formatCode>@</c:formatCode>
                <c:ptCount val="23"/>
                <c:pt idx="0" formatCode="#,##0.00;\-#,##0.00">
                  <c:v>421392.62</c:v>
                </c:pt>
                <c:pt idx="2" formatCode="#,##0.00;\-#,##0.00">
                  <c:v>465402.48</c:v>
                </c:pt>
                <c:pt idx="4" formatCode="#,##0.00;\-#,##0.00">
                  <c:v>472623.13</c:v>
                </c:pt>
                <c:pt idx="6" formatCode="#,##0.00;\-#,##0.00">
                  <c:v>420822.07</c:v>
                </c:pt>
                <c:pt idx="8" formatCode="#,##0.00;\-#,##0.00">
                  <c:v>417163.01</c:v>
                </c:pt>
                <c:pt idx="10" formatCode="#,##0.00;\-#,##0.00">
                  <c:v>381706.33</c:v>
                </c:pt>
                <c:pt idx="12" formatCode="#,##0.00;\-#,##0.00">
                  <c:v>342243.33</c:v>
                </c:pt>
                <c:pt idx="14" formatCode="#,##0.00;\-#,##0.00">
                  <c:v>379088.62</c:v>
                </c:pt>
                <c:pt idx="16" formatCode="#,##0.00;\-#,##0.00">
                  <c:v>396616</c:v>
                </c:pt>
                <c:pt idx="18" formatCode="#,##0.00;\-#,##0.00">
                  <c:v>397132.96</c:v>
                </c:pt>
                <c:pt idx="20" formatCode="#,##0.00;\-#,##0.00">
                  <c:v>299766.46999999997</c:v>
                </c:pt>
                <c:pt idx="22" formatCode="#,##0.00;\-#,##0.00">
                  <c:v>301814.78999999998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156992"/>
        <c:axId val="279162880"/>
      </c:barChart>
      <c:catAx>
        <c:axId val="2791569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9162880"/>
        <c:crosses val="autoZero"/>
        <c:auto val="1"/>
        <c:lblAlgn val="ctr"/>
        <c:lblOffset val="100"/>
        <c:noMultiLvlLbl val="0"/>
      </c:catAx>
      <c:valAx>
        <c:axId val="279162880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27915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'LWVCEF-Stmt of Fin. Pos. by mth'!$H$1:$AD$1</c:f>
              <c:strCache>
                <c:ptCount val="23"/>
                <c:pt idx="0">
                  <c:v>Dec 31, 18</c:v>
                </c:pt>
                <c:pt idx="2">
                  <c:v>Jan 31, 19</c:v>
                </c:pt>
                <c:pt idx="4">
                  <c:v>Feb 28, 19</c:v>
                </c:pt>
                <c:pt idx="6">
                  <c:v>Mar 31, 19</c:v>
                </c:pt>
                <c:pt idx="8">
                  <c:v>Apr 30, 19</c:v>
                </c:pt>
                <c:pt idx="10">
                  <c:v>May 31, 19</c:v>
                </c:pt>
                <c:pt idx="12">
                  <c:v>Jun 30, 19</c:v>
                </c:pt>
                <c:pt idx="14">
                  <c:v>Jul 31, 19</c:v>
                </c:pt>
                <c:pt idx="16">
                  <c:v>Aug 31, 19</c:v>
                </c:pt>
                <c:pt idx="18">
                  <c:v>Sep 30, 19</c:v>
                </c:pt>
                <c:pt idx="20">
                  <c:v>Oct 31, 19</c:v>
                </c:pt>
                <c:pt idx="22">
                  <c:v>Nov 30, 19</c:v>
                </c:pt>
              </c:strCache>
            </c:strRef>
          </c:cat>
          <c:val>
            <c:numRef>
              <c:f>'LWVCEF-Stmt of Fin. Pos. by mth'!$H$82:$AD$82</c:f>
              <c:numCache>
                <c:formatCode>@</c:formatCode>
                <c:ptCount val="23"/>
                <c:pt idx="0" formatCode="#,##0.00;\-#,##0.00">
                  <c:v>152779.07</c:v>
                </c:pt>
                <c:pt idx="2" formatCode="#,##0.00;\-#,##0.00">
                  <c:v>159274.57</c:v>
                </c:pt>
                <c:pt idx="4" formatCode="#,##0.00;\-#,##0.00">
                  <c:v>156718.92000000001</c:v>
                </c:pt>
                <c:pt idx="6" formatCode="#,##0.00;\-#,##0.00">
                  <c:v>117048.69</c:v>
                </c:pt>
                <c:pt idx="8" formatCode="#,##0.00;\-#,##0.00">
                  <c:v>110203.25</c:v>
                </c:pt>
                <c:pt idx="10" formatCode="#,##0.00;\-#,##0.00">
                  <c:v>117423.25</c:v>
                </c:pt>
                <c:pt idx="12" formatCode="#,##0.00;\-#,##0.00">
                  <c:v>91922.4</c:v>
                </c:pt>
                <c:pt idx="14" formatCode="#,##0.00;\-#,##0.00">
                  <c:v>96037.65</c:v>
                </c:pt>
                <c:pt idx="16" formatCode="#,##0.00;\-#,##0.00">
                  <c:v>113021.77</c:v>
                </c:pt>
                <c:pt idx="18" formatCode="#,##0.00;\-#,##0.00">
                  <c:v>92940.75</c:v>
                </c:pt>
                <c:pt idx="20" formatCode="#,##0.00;\-#,##0.00">
                  <c:v>97647.25</c:v>
                </c:pt>
                <c:pt idx="22" formatCode="#,##0.00;\-#,##0.00">
                  <c:v>99415.62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178624"/>
        <c:axId val="278865024"/>
      </c:barChart>
      <c:catAx>
        <c:axId val="2791786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8865024"/>
        <c:crosses val="autoZero"/>
        <c:auto val="1"/>
        <c:lblAlgn val="ctr"/>
        <c:lblOffset val="100"/>
        <c:noMultiLvlLbl val="0"/>
      </c:catAx>
      <c:valAx>
        <c:axId val="278865024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27917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285750</xdr:colOff>
          <xdr:row>1</xdr:row>
          <xdr:rowOff>38100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285750</xdr:colOff>
          <xdr:row>1</xdr:row>
          <xdr:rowOff>38100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0177" name="FILTER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0178" name="HEADER" hidden="1">
              <a:extLst>
                <a:ext uri="{63B3BB69-23CF-44E3-9099-C40C66FF867C}">
                  <a14:compatExt spid="_x0000_s50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1985" name="FILTER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1986" name="HEADER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30</xdr:col>
      <xdr:colOff>538161</xdr:colOff>
      <xdr:row>5</xdr:row>
      <xdr:rowOff>104780</xdr:rowOff>
    </xdr:from>
    <xdr:to>
      <xdr:col>38</xdr:col>
      <xdr:colOff>419099</xdr:colOff>
      <xdr:row>21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285750</xdr:colOff>
          <xdr:row>1</xdr:row>
          <xdr:rowOff>38100</xdr:rowOff>
        </xdr:to>
        <xdr:sp macro="" textlink="">
          <xdr:nvSpPr>
            <xdr:cNvPr id="65537" name="FILTER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285750</xdr:colOff>
          <xdr:row>1</xdr:row>
          <xdr:rowOff>38100</xdr:rowOff>
        </xdr:to>
        <xdr:sp macro="" textlink="">
          <xdr:nvSpPr>
            <xdr:cNvPr id="65538" name="HEADER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457200</xdr:colOff>
          <xdr:row>1</xdr:row>
          <xdr:rowOff>28575</xdr:rowOff>
        </xdr:to>
        <xdr:sp macro="" textlink="">
          <xdr:nvSpPr>
            <xdr:cNvPr id="64513" name="FILTER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457200</xdr:colOff>
          <xdr:row>1</xdr:row>
          <xdr:rowOff>28575</xdr:rowOff>
        </xdr:to>
        <xdr:sp macro="" textlink="">
          <xdr:nvSpPr>
            <xdr:cNvPr id="64514" name="HEADER" hidden="1">
              <a:extLst>
                <a:ext uri="{63B3BB69-23CF-44E3-9099-C40C66FF867C}">
                  <a14:compatExt spid="_x0000_s64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4033" name="FILTER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4034" name="HEADER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30</xdr:col>
      <xdr:colOff>428625</xdr:colOff>
      <xdr:row>7</xdr:row>
      <xdr:rowOff>85731</xdr:rowOff>
    </xdr:from>
    <xdr:to>
      <xdr:col>38</xdr:col>
      <xdr:colOff>123825</xdr:colOff>
      <xdr:row>22</xdr:row>
      <xdr:rowOff>133356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257175</xdr:colOff>
      <xdr:row>66</xdr:row>
      <xdr:rowOff>38106</xdr:rowOff>
    </xdr:from>
    <xdr:to>
      <xdr:col>39</xdr:col>
      <xdr:colOff>561975</xdr:colOff>
      <xdr:row>80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114300</xdr:colOff>
          <xdr:row>0</xdr:row>
          <xdr:rowOff>228600</xdr:rowOff>
        </xdr:to>
        <xdr:sp macro="" textlink="">
          <xdr:nvSpPr>
            <xdr:cNvPr id="51201" name="FILTER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114300</xdr:colOff>
          <xdr:row>0</xdr:row>
          <xdr:rowOff>228600</xdr:rowOff>
        </xdr:to>
        <xdr:sp macro="" textlink="">
          <xdr:nvSpPr>
            <xdr:cNvPr id="51202" name="HEADER" hidden="1">
              <a:extLst>
                <a:ext uri="{63B3BB69-23CF-44E3-9099-C40C66FF867C}">
                  <a14:compatExt spid="_x0000_s5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cquie/league/2018-19/Finance%20Committee%20August/c4%20finance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4-Stmt of Fin. Pos. 2D"/>
      <sheetName val="c4-Stmt of Activities by Class"/>
      <sheetName val="Sheet1"/>
    </sheetNames>
    <sheetDataSet>
      <sheetData sheetId="0" refreshError="1"/>
      <sheetData sheetId="1" refreshError="1"/>
      <sheetData sheetId="2" refreshError="1">
        <row r="15">
          <cell r="DB15">
            <v>40000</v>
          </cell>
        </row>
        <row r="46">
          <cell r="R46">
            <v>394</v>
          </cell>
          <cell r="S46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95"/>
  <sheetViews>
    <sheetView topLeftCell="A28" zoomScale="70" zoomScaleNormal="70" zoomScalePageLayoutView="90" workbookViewId="0">
      <selection activeCell="F64" sqref="F63:F64"/>
    </sheetView>
  </sheetViews>
  <sheetFormatPr defaultColWidth="8.85546875" defaultRowHeight="15" x14ac:dyDescent="0.25"/>
  <cols>
    <col min="1" max="1" width="34.28515625" customWidth="1"/>
    <col min="2" max="2" width="14.7109375" customWidth="1"/>
    <col min="3" max="3" width="13.85546875" hidden="1" customWidth="1"/>
    <col min="4" max="4" width="14.85546875" hidden="1" customWidth="1"/>
    <col min="5" max="5" width="13.7109375" customWidth="1"/>
    <col min="6" max="6" width="16" customWidth="1"/>
    <col min="7" max="7" width="1.7109375" customWidth="1"/>
    <col min="8" max="8" width="34" customWidth="1"/>
    <col min="9" max="9" width="15.7109375" customWidth="1"/>
    <col min="10" max="10" width="13.7109375" hidden="1" customWidth="1"/>
    <col min="11" max="11" width="14.28515625" hidden="1" customWidth="1"/>
    <col min="12" max="12" width="17.7109375" customWidth="1"/>
    <col min="13" max="13" width="16.7109375" customWidth="1"/>
    <col min="14" max="14" width="1.5703125" style="1" customWidth="1"/>
    <col min="15" max="15" width="33.7109375" style="1" customWidth="1"/>
    <col min="16" max="16" width="15.140625" style="1" customWidth="1"/>
    <col min="17" max="17" width="14" hidden="1" customWidth="1"/>
    <col min="18" max="18" width="14.5703125" hidden="1" customWidth="1"/>
    <col min="19" max="19" width="14.140625" style="1" customWidth="1"/>
    <col min="20" max="20" width="15.28515625" style="1" customWidth="1"/>
    <col min="21" max="21" width="10.5703125" style="1" bestFit="1" customWidth="1"/>
    <col min="22" max="22" width="11.7109375" style="1" customWidth="1"/>
    <col min="23" max="23" width="13" style="1" customWidth="1"/>
    <col min="24" max="43" width="8.85546875" style="1"/>
  </cols>
  <sheetData>
    <row r="1" spans="1:43" ht="18.75" x14ac:dyDescent="0.3">
      <c r="A1" s="4" t="s">
        <v>469</v>
      </c>
      <c r="B1" s="6"/>
      <c r="C1" s="5"/>
      <c r="D1" s="5"/>
      <c r="E1" s="6"/>
      <c r="F1" s="6"/>
      <c r="G1" s="6"/>
      <c r="H1" s="6"/>
      <c r="I1" s="6"/>
      <c r="J1" s="5"/>
      <c r="K1" s="5"/>
      <c r="L1" s="6"/>
      <c r="M1" s="6"/>
      <c r="N1" s="7"/>
      <c r="O1" s="7"/>
      <c r="P1" s="7"/>
      <c r="Q1" s="5"/>
      <c r="R1" s="5"/>
      <c r="S1" s="7"/>
    </row>
    <row r="2" spans="1:43" ht="30" customHeight="1" thickBot="1" x14ac:dyDescent="0.35">
      <c r="A2" s="8" t="s">
        <v>6</v>
      </c>
      <c r="B2" s="9"/>
      <c r="C2" s="8"/>
      <c r="D2" s="8"/>
      <c r="E2" s="6"/>
      <c r="F2" s="6"/>
      <c r="G2" s="7"/>
      <c r="H2" s="8" t="s">
        <v>9</v>
      </c>
      <c r="I2" s="6"/>
      <c r="J2" s="8"/>
      <c r="K2" s="8"/>
      <c r="L2" s="6"/>
      <c r="M2" s="6"/>
      <c r="N2" s="7"/>
      <c r="O2" s="10" t="s">
        <v>10</v>
      </c>
      <c r="P2" s="7"/>
      <c r="Q2" s="8"/>
      <c r="R2" s="8"/>
      <c r="S2" s="7"/>
    </row>
    <row r="3" spans="1:43" s="3" customFormat="1" ht="45.75" thickBot="1" x14ac:dyDescent="0.3">
      <c r="A3" s="11"/>
      <c r="B3" s="13" t="s">
        <v>476</v>
      </c>
      <c r="C3" s="12" t="s">
        <v>18</v>
      </c>
      <c r="D3" s="387" t="s">
        <v>421</v>
      </c>
      <c r="E3" s="13" t="s">
        <v>26</v>
      </c>
      <c r="F3" s="14" t="s">
        <v>422</v>
      </c>
      <c r="G3" s="16"/>
      <c r="H3" s="42"/>
      <c r="I3" s="13" t="s">
        <v>476</v>
      </c>
      <c r="J3" s="43" t="s">
        <v>18</v>
      </c>
      <c r="K3" s="387" t="s">
        <v>421</v>
      </c>
      <c r="L3" s="44" t="s">
        <v>26</v>
      </c>
      <c r="M3" s="14" t="s">
        <v>422</v>
      </c>
      <c r="N3" s="17"/>
      <c r="O3" s="42"/>
      <c r="P3" s="44" t="s">
        <v>476</v>
      </c>
      <c r="Q3" s="43" t="s">
        <v>18</v>
      </c>
      <c r="R3" s="387" t="s">
        <v>421</v>
      </c>
      <c r="S3" s="371" t="s">
        <v>26</v>
      </c>
      <c r="T3" s="14" t="s">
        <v>422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s="3" customFormat="1" x14ac:dyDescent="0.25">
      <c r="A4" s="18" t="s">
        <v>27</v>
      </c>
      <c r="B4" s="381">
        <f>'LWVCEF-Stmt of Activ. by Class'!CT27</f>
        <v>53663.799999999996</v>
      </c>
      <c r="C4" s="90">
        <v>189261.31999999998</v>
      </c>
      <c r="D4" s="413">
        <f>B4-C4</f>
        <v>-135597.51999999999</v>
      </c>
      <c r="E4" s="513">
        <f>+'LWVCEF-Stmt of Activ. by Class'!CQ27</f>
        <v>261420</v>
      </c>
      <c r="F4" s="19">
        <f>B4-E4</f>
        <v>-207756.2</v>
      </c>
      <c r="G4" s="20"/>
      <c r="H4" s="18" t="s">
        <v>3</v>
      </c>
      <c r="I4" s="381">
        <f>+'LWVCEF-Stmt of Activ. by Class'!CU27</f>
        <v>6713.35</v>
      </c>
      <c r="J4" s="90">
        <v>112810.07</v>
      </c>
      <c r="K4" s="19">
        <f>I4-J4</f>
        <v>-106096.72</v>
      </c>
      <c r="L4" s="90">
        <f>+'LWVCEF-Stmt of Activ. by Class'!CR27</f>
        <v>383750</v>
      </c>
      <c r="M4" s="105">
        <f>I4-L4</f>
        <v>-377036.65</v>
      </c>
      <c r="N4" s="25"/>
      <c r="O4" s="18" t="s">
        <v>3</v>
      </c>
      <c r="P4" s="381">
        <f>I4+B4</f>
        <v>60377.149999999994</v>
      </c>
      <c r="Q4" s="90">
        <f>J4+C4</f>
        <v>302071.39</v>
      </c>
      <c r="R4" s="413">
        <f>P4-Q4</f>
        <v>-241694.24000000002</v>
      </c>
      <c r="S4" s="90">
        <f>L4+E4</f>
        <v>645170</v>
      </c>
      <c r="T4" s="374">
        <f>P4-S4</f>
        <v>-584792.85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s="3" customFormat="1" hidden="1" x14ac:dyDescent="0.25">
      <c r="A5" s="21" t="s">
        <v>28</v>
      </c>
      <c r="B5" s="382">
        <v>0</v>
      </c>
      <c r="C5" s="64">
        <v>100</v>
      </c>
      <c r="D5" s="85">
        <f>B5-C5</f>
        <v>-100</v>
      </c>
      <c r="E5" s="22">
        <v>0</v>
      </c>
      <c r="F5" s="46">
        <f>B5-E5</f>
        <v>0</v>
      </c>
      <c r="G5" s="20"/>
      <c r="H5" s="21" t="s">
        <v>28</v>
      </c>
      <c r="I5" s="383"/>
      <c r="J5" s="66"/>
      <c r="K5" s="50"/>
      <c r="L5" s="7"/>
      <c r="M5" s="50"/>
      <c r="N5" s="25"/>
      <c r="O5" s="21" t="s">
        <v>28</v>
      </c>
      <c r="P5" s="382">
        <f>+B5</f>
        <v>0</v>
      </c>
      <c r="Q5" s="64">
        <f>+C5</f>
        <v>100</v>
      </c>
      <c r="R5" s="85">
        <f>P5-Q5</f>
        <v>-100</v>
      </c>
      <c r="S5" s="64">
        <f>+E5</f>
        <v>0</v>
      </c>
      <c r="T5" s="375">
        <f>+P5-S5</f>
        <v>0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s="3" customFormat="1" ht="15.75" thickBot="1" x14ac:dyDescent="0.3">
      <c r="A6" s="32" t="s">
        <v>32</v>
      </c>
      <c r="B6" s="104">
        <f>B5+B4</f>
        <v>53663.799999999996</v>
      </c>
      <c r="C6" s="65">
        <v>189361.31999999998</v>
      </c>
      <c r="D6" s="48">
        <f t="shared" ref="D6:D9" si="0">B6-C6</f>
        <v>-135697.51999999999</v>
      </c>
      <c r="E6" s="27">
        <f>+E5+E4</f>
        <v>261420</v>
      </c>
      <c r="F6" s="48">
        <f>B6-E6</f>
        <v>-207756.2</v>
      </c>
      <c r="G6" s="20"/>
      <c r="H6" s="32" t="s">
        <v>32</v>
      </c>
      <c r="I6" s="104">
        <f>I5+I4</f>
        <v>6713.35</v>
      </c>
      <c r="J6" s="65">
        <v>112810.07</v>
      </c>
      <c r="K6" s="48">
        <f>I6-J6</f>
        <v>-106096.72</v>
      </c>
      <c r="L6" s="27">
        <f>+L5+L4</f>
        <v>383750</v>
      </c>
      <c r="M6" s="48">
        <f>I6-L6</f>
        <v>-377036.65</v>
      </c>
      <c r="N6" s="25"/>
      <c r="O6" s="32" t="s">
        <v>32</v>
      </c>
      <c r="P6" s="389">
        <f>SUM(P4:P5)</f>
        <v>60377.149999999994</v>
      </c>
      <c r="Q6" s="65">
        <f>SUM(Q4:Q5)</f>
        <v>302171.39</v>
      </c>
      <c r="R6" s="377">
        <f>P6-Q6</f>
        <v>-241794.24000000002</v>
      </c>
      <c r="S6" s="99">
        <f>SUM(S4:S5)</f>
        <v>645170</v>
      </c>
      <c r="T6" s="376">
        <f>P6-S6</f>
        <v>-584792.85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s="3" customFormat="1" ht="15.75" thickTop="1" x14ac:dyDescent="0.25">
      <c r="A7" s="21" t="s">
        <v>0</v>
      </c>
      <c r="B7" s="382">
        <f>'LWVCEF-Stmt of Activ. by Class'!CT46</f>
        <v>121922.86</v>
      </c>
      <c r="C7" s="64">
        <v>128014.72216437501</v>
      </c>
      <c r="D7" s="46">
        <f t="shared" si="0"/>
        <v>-6091.8621643750084</v>
      </c>
      <c r="E7" s="22">
        <f>+'LWVCEF-Stmt of Activ. by Class'!CQ46</f>
        <v>206908</v>
      </c>
      <c r="F7" s="46">
        <f>+B7-E7</f>
        <v>-84985.14</v>
      </c>
      <c r="G7" s="20"/>
      <c r="H7" s="21" t="s">
        <v>0</v>
      </c>
      <c r="I7" s="382">
        <f>'LWVCEF-Stmt of Activ. by Class'!CU46</f>
        <v>66306.930000000008</v>
      </c>
      <c r="J7" s="64">
        <v>340436.71502671874</v>
      </c>
      <c r="K7" s="46">
        <f>I7-J7</f>
        <v>-274129.78502671875</v>
      </c>
      <c r="L7" s="486">
        <f>+'LWVCEF-Stmt of Activ. by Class'!CR46</f>
        <v>412828</v>
      </c>
      <c r="M7" s="46">
        <f>I7-L7</f>
        <v>-346521.07</v>
      </c>
      <c r="N7" s="25"/>
      <c r="O7" s="21" t="s">
        <v>0</v>
      </c>
      <c r="P7" s="382">
        <f>I7+B7</f>
        <v>188229.79</v>
      </c>
      <c r="Q7" s="64">
        <f>+J7+C7</f>
        <v>468451.43719109375</v>
      </c>
      <c r="R7" s="85">
        <f>P7-Q7</f>
        <v>-280221.64719109377</v>
      </c>
      <c r="S7" s="486">
        <f>+L7+E7</f>
        <v>619736</v>
      </c>
      <c r="T7" s="85">
        <f>P7-S7</f>
        <v>-431506.20999999996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s="3" customFormat="1" x14ac:dyDescent="0.25">
      <c r="A8" s="21" t="s">
        <v>425</v>
      </c>
      <c r="B8" s="471">
        <v>0</v>
      </c>
      <c r="C8" s="64"/>
      <c r="D8" s="46"/>
      <c r="E8" s="22"/>
      <c r="F8" s="46"/>
      <c r="G8" s="20"/>
      <c r="H8" s="21"/>
      <c r="I8" s="382"/>
      <c r="J8" s="64"/>
      <c r="K8" s="46"/>
      <c r="L8" s="22"/>
      <c r="M8" s="46"/>
      <c r="N8" s="25"/>
      <c r="O8" s="21" t="s">
        <v>425</v>
      </c>
      <c r="P8" s="471">
        <f>B8</f>
        <v>0</v>
      </c>
      <c r="Q8" s="64"/>
      <c r="R8" s="85"/>
      <c r="S8" s="22"/>
      <c r="T8" s="85">
        <f>P8-S8</f>
        <v>0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s="3" customFormat="1" x14ac:dyDescent="0.25">
      <c r="A9" s="21" t="s">
        <v>38</v>
      </c>
      <c r="B9" s="537">
        <v>-15000</v>
      </c>
      <c r="C9" s="64">
        <v>40300</v>
      </c>
      <c r="D9" s="46">
        <f t="shared" si="0"/>
        <v>-55300</v>
      </c>
      <c r="E9" s="22">
        <v>12589</v>
      </c>
      <c r="F9" s="46">
        <f>+B9-E9</f>
        <v>-27589</v>
      </c>
      <c r="G9" s="20"/>
      <c r="H9" s="21" t="s">
        <v>39</v>
      </c>
      <c r="I9" s="409">
        <f>+B9*-1</f>
        <v>15000</v>
      </c>
      <c r="J9" s="98">
        <v>-40300</v>
      </c>
      <c r="K9" s="85">
        <f>I9-J9</f>
        <v>55300</v>
      </c>
      <c r="L9" s="22">
        <v>-12589</v>
      </c>
      <c r="M9" s="24">
        <f>+I9-L9</f>
        <v>27589</v>
      </c>
      <c r="N9" s="25"/>
      <c r="O9" s="21" t="s">
        <v>40</v>
      </c>
      <c r="P9" s="75">
        <f>+B9+I9</f>
        <v>0</v>
      </c>
      <c r="Q9" s="66"/>
      <c r="R9" s="50"/>
      <c r="S9" s="22">
        <v>0</v>
      </c>
      <c r="T9" s="81">
        <f>+P9-S9</f>
        <v>0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s="3" customFormat="1" ht="15.75" thickBot="1" x14ac:dyDescent="0.3">
      <c r="A10" s="21" t="s">
        <v>1</v>
      </c>
      <c r="B10" s="104">
        <f>+B6-B7-B9+B8</f>
        <v>-53259.06</v>
      </c>
      <c r="C10" s="65">
        <v>21046.597835624969</v>
      </c>
      <c r="D10" s="48">
        <f>D4+D9+D5</f>
        <v>-190997.52</v>
      </c>
      <c r="E10" s="65">
        <f>+E6-E7-E9</f>
        <v>41923</v>
      </c>
      <c r="F10" s="48">
        <f>+F6-F7-F9</f>
        <v>-95182.060000000012</v>
      </c>
      <c r="G10" s="20"/>
      <c r="H10" s="21" t="s">
        <v>1</v>
      </c>
      <c r="I10" s="104">
        <f>+I6-I7-I9</f>
        <v>-74593.580000000016</v>
      </c>
      <c r="J10" s="65">
        <v>-187326.64502671873</v>
      </c>
      <c r="K10" s="48">
        <f>SUM(K4:K7)</f>
        <v>-486323.22502671875</v>
      </c>
      <c r="L10" s="65">
        <f>+L6-L7-L9</f>
        <v>-16489</v>
      </c>
      <c r="M10" s="48">
        <f>M4-M7-M9</f>
        <v>-58104.580000000016</v>
      </c>
      <c r="N10" s="25"/>
      <c r="O10" s="21" t="s">
        <v>1</v>
      </c>
      <c r="P10" s="104">
        <f>+P6-P7-P9+P8</f>
        <v>-127852.64000000001</v>
      </c>
      <c r="Q10" s="65">
        <f>Q4-Q7+Q5</f>
        <v>-166280.04719109373</v>
      </c>
      <c r="R10" s="48">
        <f>R4+R7</f>
        <v>-521915.88719109376</v>
      </c>
      <c r="S10" s="65">
        <f>+S6-S7-S9</f>
        <v>25434</v>
      </c>
      <c r="T10" s="377">
        <f>+P10-S10</f>
        <v>-153286.64000000001</v>
      </c>
      <c r="U10" s="61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s="3" customFormat="1" ht="15.75" thickTop="1" x14ac:dyDescent="0.25">
      <c r="A11" s="21"/>
      <c r="B11" s="383"/>
      <c r="C11" s="66"/>
      <c r="D11" s="50"/>
      <c r="E11" s="66"/>
      <c r="F11" s="50"/>
      <c r="G11" s="20"/>
      <c r="H11" s="21"/>
      <c r="I11" s="384"/>
      <c r="J11" s="66"/>
      <c r="K11" s="50"/>
      <c r="L11" s="96"/>
      <c r="M11" s="49"/>
      <c r="N11" s="25"/>
      <c r="O11" s="21"/>
      <c r="P11" s="384"/>
      <c r="Q11" s="66"/>
      <c r="R11" s="50"/>
      <c r="S11" s="96"/>
      <c r="T11" s="378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s="3" customFormat="1" x14ac:dyDescent="0.25">
      <c r="A12" s="21" t="s">
        <v>24</v>
      </c>
      <c r="B12" s="384">
        <f>E12</f>
        <v>47269</v>
      </c>
      <c r="C12" s="406">
        <v>82373</v>
      </c>
      <c r="D12" s="50"/>
      <c r="E12" s="96">
        <v>47269</v>
      </c>
      <c r="F12" s="49">
        <f>B12-E12</f>
        <v>0</v>
      </c>
      <c r="G12" s="20"/>
      <c r="H12" s="21" t="s">
        <v>24</v>
      </c>
      <c r="I12" s="382">
        <f>L12</f>
        <v>190161</v>
      </c>
      <c r="J12" s="406">
        <v>304654.87999999995</v>
      </c>
      <c r="K12" s="24">
        <f>L12-J12</f>
        <v>-114493.87999999995</v>
      </c>
      <c r="L12" s="64">
        <v>190161</v>
      </c>
      <c r="M12" s="46">
        <f>I12-L12</f>
        <v>0</v>
      </c>
      <c r="N12" s="25"/>
      <c r="O12" s="21" t="s">
        <v>24</v>
      </c>
      <c r="P12" s="382">
        <f>I12+B12</f>
        <v>237430</v>
      </c>
      <c r="Q12" s="406">
        <f>S12</f>
        <v>237430</v>
      </c>
      <c r="R12" s="24">
        <f>Q12-S12</f>
        <v>0</v>
      </c>
      <c r="S12" s="64">
        <f>+L12+E12</f>
        <v>237430</v>
      </c>
      <c r="T12" s="375">
        <f>P12-S12</f>
        <v>0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s="3" customFormat="1" ht="15.75" thickBot="1" x14ac:dyDescent="0.3">
      <c r="A13" s="21" t="s">
        <v>25</v>
      </c>
      <c r="B13" s="104">
        <f>B12+B10</f>
        <v>-5990.0599999999977</v>
      </c>
      <c r="C13" s="97">
        <v>103419.59783562497</v>
      </c>
      <c r="D13" s="48">
        <f>B13-C13</f>
        <v>-109409.65783562497</v>
      </c>
      <c r="E13" s="65">
        <f>E12+E10</f>
        <v>89192</v>
      </c>
      <c r="F13" s="48">
        <f>B13-E13</f>
        <v>-95182.06</v>
      </c>
      <c r="G13" s="20"/>
      <c r="H13" s="21" t="s">
        <v>25</v>
      </c>
      <c r="I13" s="47">
        <f>I12+I10</f>
        <v>115567.41999999998</v>
      </c>
      <c r="J13" s="97">
        <v>117328.23497328121</v>
      </c>
      <c r="K13" s="370">
        <f>I13-J13</f>
        <v>-1760.8149732812308</v>
      </c>
      <c r="L13" s="97">
        <f>L12+L10</f>
        <v>173672</v>
      </c>
      <c r="M13" s="370">
        <f>M12+M10</f>
        <v>-58104.580000000016</v>
      </c>
      <c r="N13" s="25"/>
      <c r="O13" s="21" t="s">
        <v>25</v>
      </c>
      <c r="P13" s="47">
        <f>P12+P10</f>
        <v>109577.35999999999</v>
      </c>
      <c r="Q13" s="97">
        <f>Q12+Q10</f>
        <v>71149.952808906266</v>
      </c>
      <c r="R13" s="370">
        <f>P13-Q13</f>
        <v>38427.40719109372</v>
      </c>
      <c r="S13" s="97">
        <f>S12+S10</f>
        <v>262864</v>
      </c>
      <c r="T13" s="82">
        <f>P13-S13</f>
        <v>-153286.64000000001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s="3" customFormat="1" ht="15.75" thickTop="1" x14ac:dyDescent="0.25">
      <c r="A14" s="21"/>
      <c r="B14" s="383"/>
      <c r="C14" s="66"/>
      <c r="D14" s="50"/>
      <c r="E14" s="66"/>
      <c r="F14" s="50"/>
      <c r="G14" s="20"/>
      <c r="H14" s="21"/>
      <c r="I14" s="383"/>
      <c r="J14" s="66"/>
      <c r="K14" s="50"/>
      <c r="L14" s="66"/>
      <c r="M14" s="50"/>
      <c r="N14" s="25"/>
      <c r="O14" s="21"/>
      <c r="P14" s="383"/>
      <c r="Q14" s="66"/>
      <c r="R14" s="50"/>
      <c r="S14" s="66"/>
      <c r="T14" s="140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s="3" customFormat="1" x14ac:dyDescent="0.25">
      <c r="A15" s="32" t="s">
        <v>2</v>
      </c>
      <c r="B15" s="383"/>
      <c r="C15" s="66"/>
      <c r="D15" s="50"/>
      <c r="E15" s="66"/>
      <c r="F15" s="50"/>
      <c r="G15" s="7"/>
      <c r="H15" s="32" t="s">
        <v>2</v>
      </c>
      <c r="I15" s="382"/>
      <c r="J15" s="66"/>
      <c r="K15" s="50"/>
      <c r="L15" s="64"/>
      <c r="M15" s="46"/>
      <c r="N15" s="7"/>
      <c r="O15" s="32" t="s">
        <v>2</v>
      </c>
      <c r="P15" s="382"/>
      <c r="Q15" s="66"/>
      <c r="R15" s="50"/>
      <c r="S15" s="64"/>
      <c r="T15" s="375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s="3" customFormat="1" x14ac:dyDescent="0.25">
      <c r="A16" s="32"/>
      <c r="B16" s="383"/>
      <c r="C16" s="66"/>
      <c r="D16" s="50"/>
      <c r="E16" s="66"/>
      <c r="F16" s="50"/>
      <c r="G16" s="7"/>
      <c r="H16" s="38" t="s">
        <v>398</v>
      </c>
      <c r="I16" s="382">
        <f>'LWVCEF-Stmt of Fin. Pos. by mth'!AD96</f>
        <v>44872.23</v>
      </c>
      <c r="J16" s="406">
        <v>53000</v>
      </c>
      <c r="K16" s="81">
        <f>I16-J16</f>
        <v>-8127.7699999999968</v>
      </c>
      <c r="L16" s="64">
        <f>70455-1668</f>
        <v>68787</v>
      </c>
      <c r="M16" s="46">
        <f>+J16</f>
        <v>53000</v>
      </c>
      <c r="N16" s="7"/>
      <c r="O16" s="32"/>
      <c r="P16" s="382"/>
      <c r="Q16" s="66"/>
      <c r="R16" s="50"/>
      <c r="S16" s="64"/>
      <c r="T16" s="375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s="3" customFormat="1" x14ac:dyDescent="0.25">
      <c r="A17" s="21" t="s">
        <v>21</v>
      </c>
      <c r="B17" s="382">
        <f>'LWVCEF Summary'!C72</f>
        <v>39047.230000000003</v>
      </c>
      <c r="C17" s="406">
        <v>39046</v>
      </c>
      <c r="D17" s="46">
        <f t="shared" ref="D17:D20" si="1">B17-C17</f>
        <v>1.2300000000032014</v>
      </c>
      <c r="E17" s="64">
        <v>39046</v>
      </c>
      <c r="F17" s="46">
        <f>B17-E17</f>
        <v>1.2300000000032014</v>
      </c>
      <c r="G17" s="20"/>
      <c r="H17" s="21" t="s">
        <v>15</v>
      </c>
      <c r="I17" s="382">
        <f>'LWVCEF-Stmt of Fin. Pos. by mth'!AD95</f>
        <v>67694.740000000005</v>
      </c>
      <c r="J17" s="64">
        <v>64328.280000000013</v>
      </c>
      <c r="K17" s="85">
        <f>I17-J17</f>
        <v>3366.4599999999919</v>
      </c>
      <c r="L17" s="64">
        <f>104706-27719</f>
        <v>76987</v>
      </c>
      <c r="M17" s="46">
        <f>I17-L17</f>
        <v>-9292.2599999999948</v>
      </c>
      <c r="N17" s="7"/>
      <c r="O17" s="21" t="s">
        <v>22</v>
      </c>
      <c r="P17" s="382">
        <f t="shared" ref="P17:Q19" si="2">B17</f>
        <v>39047.230000000003</v>
      </c>
      <c r="Q17" s="64">
        <f t="shared" si="2"/>
        <v>39046</v>
      </c>
      <c r="R17" s="46">
        <f>Q17-S17</f>
        <v>0</v>
      </c>
      <c r="S17" s="64">
        <f>E17</f>
        <v>39046</v>
      </c>
      <c r="T17" s="85">
        <f t="shared" ref="T17:T27" si="3">P17-S17</f>
        <v>1.2300000000032014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s="3" customFormat="1" x14ac:dyDescent="0.25">
      <c r="A18" s="21" t="s">
        <v>4</v>
      </c>
      <c r="B18" s="382">
        <f>B20-B17-B19</f>
        <v>-53259.09</v>
      </c>
      <c r="C18" s="64">
        <v>25000</v>
      </c>
      <c r="D18" s="46">
        <f t="shared" si="1"/>
        <v>-78259.09</v>
      </c>
      <c r="E18" s="64"/>
      <c r="F18" s="46">
        <f>B18-E18</f>
        <v>-53259.09</v>
      </c>
      <c r="G18" s="20"/>
      <c r="H18" s="21" t="s">
        <v>420</v>
      </c>
      <c r="I18" s="382">
        <f>'LWVCEF-Stmt of Fin. Pos. by mth'!AD102</f>
        <v>3000</v>
      </c>
      <c r="J18" s="64"/>
      <c r="K18" s="46">
        <f>I18-J18</f>
        <v>3000</v>
      </c>
      <c r="L18" s="486">
        <v>15000</v>
      </c>
      <c r="M18" s="46">
        <f>I18-L18</f>
        <v>-12000</v>
      </c>
      <c r="N18" s="7"/>
      <c r="O18" s="21" t="s">
        <v>4</v>
      </c>
      <c r="P18" s="396">
        <f t="shared" si="2"/>
        <v>-53259.09</v>
      </c>
      <c r="Q18" s="64">
        <f t="shared" si="2"/>
        <v>25000</v>
      </c>
      <c r="R18" s="46">
        <f>P18-Q18</f>
        <v>-78259.09</v>
      </c>
      <c r="S18" s="64">
        <f>E18</f>
        <v>0</v>
      </c>
      <c r="T18" s="85">
        <f t="shared" si="3"/>
        <v>-53259.09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s="3" customFormat="1" x14ac:dyDescent="0.25">
      <c r="A19" s="21" t="s">
        <v>5</v>
      </c>
      <c r="B19" s="382">
        <f>'LWVCEF-Stmt of Fin. Pos. by mth'!AD92</f>
        <v>8221.7999999999993</v>
      </c>
      <c r="C19" s="64">
        <v>39373.597835624969</v>
      </c>
      <c r="D19" s="46">
        <f t="shared" si="1"/>
        <v>-31151.79783562497</v>
      </c>
      <c r="E19" s="457">
        <f>+E13-E17</f>
        <v>50146</v>
      </c>
      <c r="F19" s="46">
        <f>B19-E19</f>
        <v>-41924.199999999997</v>
      </c>
      <c r="G19" s="20"/>
      <c r="H19" s="21" t="s">
        <v>429</v>
      </c>
      <c r="I19" s="382">
        <v>0</v>
      </c>
      <c r="J19" s="64">
        <v>0</v>
      </c>
      <c r="K19" s="46">
        <f>J19-L19</f>
        <v>-12898</v>
      </c>
      <c r="L19" s="64">
        <v>12898</v>
      </c>
      <c r="M19" s="46">
        <f>I19-L19</f>
        <v>-12898</v>
      </c>
      <c r="N19" s="7"/>
      <c r="O19" s="21" t="s">
        <v>5</v>
      </c>
      <c r="P19" s="382">
        <f t="shared" si="2"/>
        <v>8221.7999999999993</v>
      </c>
      <c r="Q19" s="64">
        <f t="shared" si="2"/>
        <v>39373.597835624969</v>
      </c>
      <c r="R19" s="46">
        <f>P19-Q19</f>
        <v>-31151.79783562497</v>
      </c>
      <c r="S19" s="372">
        <f>E19</f>
        <v>50146</v>
      </c>
      <c r="T19" s="85">
        <f t="shared" si="3"/>
        <v>-41924.199999999997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3" customFormat="1" ht="15.75" thickBot="1" x14ac:dyDescent="0.3">
      <c r="A20" s="32" t="s">
        <v>13</v>
      </c>
      <c r="B20" s="385">
        <f>B13</f>
        <v>-5990.0599999999977</v>
      </c>
      <c r="C20" s="78">
        <v>103419.59783562497</v>
      </c>
      <c r="D20" s="377">
        <f t="shared" si="1"/>
        <v>-109409.65783562497</v>
      </c>
      <c r="E20" s="78">
        <f>SUM(E17:E19)</f>
        <v>89192</v>
      </c>
      <c r="F20" s="68">
        <f>B20-E20</f>
        <v>-95182.06</v>
      </c>
      <c r="G20" s="20"/>
      <c r="H20" s="35" t="s">
        <v>16</v>
      </c>
      <c r="I20" s="389">
        <f>SUM(I16:I19)</f>
        <v>115566.97</v>
      </c>
      <c r="J20" s="78">
        <v>117328.28000000001</v>
      </c>
      <c r="K20" s="393">
        <f>SUM(K17:K19)</f>
        <v>-6531.5400000000081</v>
      </c>
      <c r="L20" s="389">
        <f>SUM(L16:L19)</f>
        <v>173672</v>
      </c>
      <c r="M20" s="101">
        <f>I20-L20</f>
        <v>-58105.03</v>
      </c>
      <c r="N20" s="7"/>
      <c r="O20" s="32" t="s">
        <v>12</v>
      </c>
      <c r="P20" s="389">
        <f>SUM(P17:P19)</f>
        <v>-5990.059999999994</v>
      </c>
      <c r="Q20" s="99">
        <f>SUM(Q17:Q19)</f>
        <v>103419.59783562497</v>
      </c>
      <c r="R20" s="48">
        <f>Q20-S20</f>
        <v>14227.597835624969</v>
      </c>
      <c r="S20" s="99">
        <f>SUM(S17:S19)</f>
        <v>89192</v>
      </c>
      <c r="T20" s="377">
        <f t="shared" si="3"/>
        <v>-95182.06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s="3" customFormat="1" ht="16.5" thickTop="1" thickBot="1" x14ac:dyDescent="0.3">
      <c r="A21" s="36"/>
      <c r="B21" s="386"/>
      <c r="C21" s="380"/>
      <c r="D21" s="388"/>
      <c r="E21" s="369"/>
      <c r="F21" s="37"/>
      <c r="G21" s="20"/>
      <c r="H21" s="36"/>
      <c r="I21" s="390"/>
      <c r="J21" s="410"/>
      <c r="K21" s="388"/>
      <c r="L21" s="100"/>
      <c r="M21" s="102"/>
      <c r="N21" s="7"/>
      <c r="O21" s="38"/>
      <c r="P21" s="402"/>
      <c r="Q21" s="372"/>
      <c r="R21" s="46"/>
      <c r="S21" s="67"/>
      <c r="T21" s="85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3" customFormat="1" ht="19.5" customHeight="1" x14ac:dyDescent="0.25">
      <c r="A22" s="87"/>
      <c r="B22" s="88"/>
      <c r="C22" s="87"/>
      <c r="D22" s="87"/>
      <c r="E22" s="40"/>
      <c r="F22" s="33"/>
      <c r="G22" s="7"/>
      <c r="H22" s="40"/>
      <c r="I22" s="535">
        <f>+I20-I13</f>
        <v>-0.4499999999825377</v>
      </c>
      <c r="J22" s="39"/>
      <c r="K22" s="39"/>
      <c r="L22" s="41" t="s">
        <v>466</v>
      </c>
      <c r="M22" s="6"/>
      <c r="N22" s="7"/>
      <c r="O22" s="38" t="s">
        <v>398</v>
      </c>
      <c r="P22" s="382">
        <f>I16</f>
        <v>44872.23</v>
      </c>
      <c r="Q22" s="406">
        <v>53000</v>
      </c>
      <c r="R22" s="81">
        <f>P22-Q22</f>
        <v>-8127.7699999999968</v>
      </c>
      <c r="S22" s="64">
        <f>70455-1668</f>
        <v>68787</v>
      </c>
      <c r="T22" s="85">
        <f t="shared" si="3"/>
        <v>-23914.769999999997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s="3" customFormat="1" x14ac:dyDescent="0.25">
      <c r="A23" s="87"/>
      <c r="B23" s="40"/>
      <c r="C23" s="39"/>
      <c r="D23" s="39"/>
      <c r="E23" s="40"/>
      <c r="F23" s="6"/>
      <c r="G23" s="7"/>
      <c r="H23" s="40"/>
      <c r="I23" s="503"/>
      <c r="J23" s="6"/>
      <c r="K23" s="6"/>
      <c r="L23" s="58"/>
      <c r="M23" s="6"/>
      <c r="N23" s="7"/>
      <c r="O23" s="21" t="s">
        <v>15</v>
      </c>
      <c r="P23" s="382">
        <f>I17</f>
        <v>67694.740000000005</v>
      </c>
      <c r="Q23" s="64">
        <v>64328.280000000013</v>
      </c>
      <c r="R23" s="85">
        <f>P23-Q23</f>
        <v>3366.4599999999919</v>
      </c>
      <c r="S23" s="64">
        <f>104706-27719</f>
        <v>76987</v>
      </c>
      <c r="T23" s="85">
        <f t="shared" si="3"/>
        <v>-9292.2599999999948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s="3" customFormat="1" x14ac:dyDescent="0.25">
      <c r="A24" s="39"/>
      <c r="B24" s="40"/>
      <c r="C24" s="39"/>
      <c r="D24" s="39"/>
      <c r="E24" s="40"/>
      <c r="F24" s="6"/>
      <c r="G24" s="7"/>
      <c r="H24" s="40"/>
      <c r="I24" s="40"/>
      <c r="J24" s="6"/>
      <c r="K24" s="6"/>
      <c r="L24" s="58"/>
      <c r="M24" s="6"/>
      <c r="N24" s="7"/>
      <c r="O24" s="21" t="s">
        <v>420</v>
      </c>
      <c r="P24" s="382">
        <f>I18</f>
        <v>3000</v>
      </c>
      <c r="Q24" s="64"/>
      <c r="R24" s="46">
        <f>P24-Q24</f>
        <v>3000</v>
      </c>
      <c r="S24" s="486">
        <v>15000</v>
      </c>
      <c r="T24" s="85">
        <f t="shared" si="3"/>
        <v>-12000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s="3" customFormat="1" x14ac:dyDescent="0.25">
      <c r="A25" s="39"/>
      <c r="B25" s="40"/>
      <c r="C25" s="41"/>
      <c r="D25" s="6"/>
      <c r="E25" s="40"/>
      <c r="F25" s="58"/>
      <c r="G25" s="40"/>
      <c r="H25" s="40"/>
      <c r="I25" s="40"/>
      <c r="J25" s="6"/>
      <c r="K25" s="6"/>
      <c r="L25" s="58"/>
      <c r="M25" s="58"/>
      <c r="N25" s="7"/>
      <c r="O25" s="21" t="s">
        <v>429</v>
      </c>
      <c r="P25" s="382">
        <f>'LWVCEF Summary'!J80</f>
        <v>0</v>
      </c>
      <c r="Q25" s="64">
        <v>0</v>
      </c>
      <c r="R25" s="46">
        <f>Q25-S25</f>
        <v>-12898</v>
      </c>
      <c r="S25" s="64">
        <v>12898</v>
      </c>
      <c r="T25" s="85">
        <f t="shared" si="3"/>
        <v>-12898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s="3" customFormat="1" ht="15.75" thickBot="1" x14ac:dyDescent="0.3">
      <c r="A26" s="39"/>
      <c r="B26" s="40"/>
      <c r="C26" s="39"/>
      <c r="D26" s="39"/>
      <c r="E26" s="40"/>
      <c r="F26" s="58"/>
      <c r="G26" s="40"/>
      <c r="H26" s="40"/>
      <c r="I26" s="40"/>
      <c r="J26" s="6"/>
      <c r="K26" s="6"/>
      <c r="L26" s="58"/>
      <c r="M26" s="58"/>
      <c r="N26" s="7"/>
      <c r="O26" s="35" t="s">
        <v>16</v>
      </c>
      <c r="P26" s="389">
        <f>SUM(P21:P25)</f>
        <v>115566.97</v>
      </c>
      <c r="Q26" s="65">
        <f>SUM(Q21:Q25)</f>
        <v>117328.28000000001</v>
      </c>
      <c r="R26" s="48">
        <f>SUM(R21:R25)</f>
        <v>-14659.310000000005</v>
      </c>
      <c r="S26" s="99">
        <f>SUM(S21:S25)</f>
        <v>173672</v>
      </c>
      <c r="T26" s="377">
        <f t="shared" si="3"/>
        <v>-58105.03</v>
      </c>
      <c r="U26" s="6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s="3" customFormat="1" ht="16.5" thickTop="1" thickBot="1" x14ac:dyDescent="0.3">
      <c r="A27" s="39"/>
      <c r="B27" s="40"/>
      <c r="C27" s="39"/>
      <c r="D27" s="39"/>
      <c r="E27" s="40"/>
      <c r="F27" s="6"/>
      <c r="G27" s="6"/>
      <c r="H27" s="55"/>
      <c r="I27" s="55"/>
      <c r="J27" s="440"/>
      <c r="K27" s="441"/>
      <c r="L27" s="442"/>
      <c r="M27" s="442"/>
      <c r="N27" s="2"/>
      <c r="O27" s="443" t="s">
        <v>31</v>
      </c>
      <c r="P27" s="444">
        <f>+P26+P20</f>
        <v>109576.91</v>
      </c>
      <c r="Q27" s="445">
        <f>+Q26+Q20</f>
        <v>220747.87783562497</v>
      </c>
      <c r="R27" s="113">
        <f>+R26+R20</f>
        <v>-431.71216437503608</v>
      </c>
      <c r="S27" s="373">
        <f>S26+S20</f>
        <v>262864</v>
      </c>
      <c r="T27" s="379">
        <f t="shared" si="3"/>
        <v>-153287.09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x14ac:dyDescent="0.25">
      <c r="A28" s="39"/>
      <c r="B28" s="40"/>
      <c r="C28" s="39"/>
      <c r="D28" s="39"/>
      <c r="E28" s="40"/>
      <c r="F28" s="6"/>
      <c r="G28" s="6"/>
      <c r="H28" s="40"/>
      <c r="I28" s="40"/>
      <c r="J28" s="446"/>
      <c r="K28" s="3"/>
      <c r="L28" s="447"/>
      <c r="M28" s="3"/>
      <c r="N28" s="2"/>
      <c r="O28" s="87"/>
      <c r="P28" s="536">
        <f>+P27-P13</f>
        <v>-0.4499999999825377</v>
      </c>
      <c r="Q28" s="131"/>
      <c r="R28" s="39"/>
      <c r="S28" s="25" t="s">
        <v>466</v>
      </c>
      <c r="T28" s="2"/>
    </row>
    <row r="29" spans="1:43" ht="19.5" thickBot="1" x14ac:dyDescent="0.35">
      <c r="A29" s="8" t="s">
        <v>11</v>
      </c>
      <c r="B29" s="9"/>
      <c r="C29" s="8"/>
      <c r="D29" s="8"/>
      <c r="E29" s="6"/>
      <c r="F29" s="6"/>
      <c r="G29" s="6"/>
      <c r="H29" s="412" t="s">
        <v>14</v>
      </c>
      <c r="I29" s="6"/>
      <c r="J29" s="87"/>
      <c r="K29" s="87"/>
      <c r="L29" s="3"/>
      <c r="M29" s="172"/>
      <c r="N29" s="2"/>
      <c r="O29" s="448" t="s">
        <v>240</v>
      </c>
      <c r="P29" s="61"/>
      <c r="Q29" s="449"/>
      <c r="R29" s="8"/>
      <c r="S29" s="7"/>
      <c r="T29" s="2"/>
    </row>
    <row r="30" spans="1:43" ht="45.75" thickBot="1" x14ac:dyDescent="0.3">
      <c r="A30" s="42"/>
      <c r="B30" s="13" t="s">
        <v>476</v>
      </c>
      <c r="C30" s="43" t="s">
        <v>18</v>
      </c>
      <c r="D30" s="387" t="s">
        <v>421</v>
      </c>
      <c r="E30" s="13" t="s">
        <v>26</v>
      </c>
      <c r="F30" s="14" t="s">
        <v>422</v>
      </c>
      <c r="G30" s="6"/>
      <c r="H30" s="74"/>
      <c r="I30" s="13" t="s">
        <v>476</v>
      </c>
      <c r="J30" s="450" t="s">
        <v>18</v>
      </c>
      <c r="K30" s="451" t="s">
        <v>421</v>
      </c>
      <c r="L30" s="452" t="s">
        <v>26</v>
      </c>
      <c r="M30" s="453" t="s">
        <v>422</v>
      </c>
      <c r="N30" s="2"/>
      <c r="O30" s="170"/>
      <c r="P30" s="452" t="s">
        <v>476</v>
      </c>
      <c r="Q30" s="454" t="s">
        <v>18</v>
      </c>
      <c r="R30" s="387" t="s">
        <v>421</v>
      </c>
      <c r="S30" s="44" t="s">
        <v>26</v>
      </c>
      <c r="T30" s="14" t="s">
        <v>422</v>
      </c>
    </row>
    <row r="31" spans="1:43" x14ac:dyDescent="0.25">
      <c r="A31" s="18" t="s">
        <v>27</v>
      </c>
      <c r="B31" s="381">
        <f>+'LWVC Summary'!C29-'LWVC Summary'!C26</f>
        <v>251251.99000000002</v>
      </c>
      <c r="C31" s="90">
        <v>500407.70999999996</v>
      </c>
      <c r="D31" s="105">
        <f>B31-C31</f>
        <v>-249155.71999999994</v>
      </c>
      <c r="E31" s="513">
        <f>464144-E32</f>
        <v>439144</v>
      </c>
      <c r="F31" s="19">
        <f>B31-E31</f>
        <v>-187892.00999999998</v>
      </c>
      <c r="G31" s="6"/>
      <c r="H31" s="18" t="s">
        <v>3</v>
      </c>
      <c r="I31" s="381">
        <f>B31+P4+P5+B32+B33</f>
        <v>318524.14</v>
      </c>
      <c r="J31" s="455">
        <f>+C34+Q6</f>
        <v>836222.1</v>
      </c>
      <c r="K31" s="413">
        <f>I31-J31</f>
        <v>-517697.95999999996</v>
      </c>
      <c r="L31" s="456">
        <f>+E34+S6</f>
        <v>1109314</v>
      </c>
      <c r="M31" s="413">
        <f>I31-L31</f>
        <v>-790789.86</v>
      </c>
      <c r="N31" s="2"/>
      <c r="O31" s="170" t="s">
        <v>27</v>
      </c>
      <c r="P31" s="538">
        <f>'LWVC Summary'!C29-'LWVC Summary'!C26+6705</f>
        <v>257956.99000000002</v>
      </c>
      <c r="Q31" s="456">
        <f>+C31</f>
        <v>500407.70999999996</v>
      </c>
      <c r="R31" s="105">
        <f>P31-Q31</f>
        <v>-242450.71999999994</v>
      </c>
      <c r="S31" s="45">
        <f>+E31</f>
        <v>439144</v>
      </c>
      <c r="T31" s="80">
        <f>P31-S31</f>
        <v>-181187.00999999998</v>
      </c>
      <c r="V31" s="539" t="s">
        <v>502</v>
      </c>
      <c r="W31" s="539"/>
      <c r="X31" s="539"/>
      <c r="Y31" s="539"/>
      <c r="Z31" s="539"/>
      <c r="AA31" s="539"/>
      <c r="AB31" s="539"/>
      <c r="AC31" s="539"/>
      <c r="AD31" s="539"/>
    </row>
    <row r="32" spans="1:43" x14ac:dyDescent="0.25">
      <c r="A32" s="21" t="s">
        <v>29</v>
      </c>
      <c r="B32" s="382">
        <f>'LWVC Summary'!$C$26</f>
        <v>6895</v>
      </c>
      <c r="C32" s="64">
        <v>32643</v>
      </c>
      <c r="D32" s="24">
        <f>B32-C32</f>
        <v>-25748</v>
      </c>
      <c r="E32" s="22">
        <v>25000</v>
      </c>
      <c r="F32" s="46">
        <f>B32-E32</f>
        <v>-18105</v>
      </c>
      <c r="G32" s="6"/>
      <c r="H32" s="21" t="s">
        <v>0</v>
      </c>
      <c r="I32" s="382">
        <f>B35+P7</f>
        <v>373975.81000000006</v>
      </c>
      <c r="J32" s="148">
        <f>C35+Q7</f>
        <v>911278.21109500004</v>
      </c>
      <c r="K32" s="85">
        <f>I32-J32</f>
        <v>-537302.40109499998</v>
      </c>
      <c r="L32" s="457">
        <f>E35+S7</f>
        <v>1079703</v>
      </c>
      <c r="M32" s="85">
        <f>I32-L32</f>
        <v>-705727.19</v>
      </c>
      <c r="N32" s="2"/>
      <c r="O32" s="95" t="s">
        <v>0</v>
      </c>
      <c r="P32" s="403">
        <f>'LWVC-Stmt of Act. by Class'!CZ51-'LWVC-Stmt of Act. by Class'!BP51</f>
        <v>171648.86</v>
      </c>
      <c r="Q32" s="461">
        <v>440054.40390390629</v>
      </c>
      <c r="R32" s="24">
        <f>P32-Q32</f>
        <v>-268405.54390390631</v>
      </c>
      <c r="S32" s="129">
        <f>E35-28000</f>
        <v>431967</v>
      </c>
      <c r="T32" s="81">
        <f>P32-S32</f>
        <v>-260318.14</v>
      </c>
    </row>
    <row r="33" spans="1:43" ht="15.75" thickBot="1" x14ac:dyDescent="0.3">
      <c r="A33" s="21"/>
      <c r="B33" s="382"/>
      <c r="C33" s="64"/>
      <c r="D33" s="24"/>
      <c r="E33" s="22"/>
      <c r="F33" s="46"/>
      <c r="G33" s="6"/>
      <c r="H33" s="21" t="s">
        <v>1</v>
      </c>
      <c r="I33" s="104">
        <f>I31-I32</f>
        <v>-55451.670000000042</v>
      </c>
      <c r="J33" s="459">
        <f>J31-J32</f>
        <v>-75056.111095000058</v>
      </c>
      <c r="K33" s="377">
        <f t="shared" ref="K33:M33" si="4">K31-K32</f>
        <v>19604.441095000017</v>
      </c>
      <c r="L33" s="460">
        <f>L31-L32</f>
        <v>29611</v>
      </c>
      <c r="M33" s="377">
        <f t="shared" si="4"/>
        <v>-85062.670000000042</v>
      </c>
      <c r="N33" s="2"/>
      <c r="O33" s="95" t="s">
        <v>428</v>
      </c>
      <c r="P33" s="61">
        <f>+B36</f>
        <v>0</v>
      </c>
      <c r="Q33" s="2"/>
      <c r="R33" s="420"/>
      <c r="S33" s="420">
        <v>0</v>
      </c>
      <c r="T33" s="81">
        <f>P33-S33</f>
        <v>0</v>
      </c>
      <c r="U33" s="59"/>
      <c r="V33" s="59"/>
      <c r="W33" s="59"/>
    </row>
    <row r="34" spans="1:43" ht="16.5" thickTop="1" thickBot="1" x14ac:dyDescent="0.3">
      <c r="A34" s="32" t="s">
        <v>32</v>
      </c>
      <c r="B34" s="389">
        <f>SUM(B31:B33)</f>
        <v>258146.99000000002</v>
      </c>
      <c r="C34" s="99">
        <v>534050.71</v>
      </c>
      <c r="D34" s="76">
        <f t="shared" ref="D34" si="5">SUM(D31:D33)</f>
        <v>-274903.71999999997</v>
      </c>
      <c r="E34" s="69">
        <f>+E33+E32+E31</f>
        <v>464144</v>
      </c>
      <c r="F34" s="76">
        <f>SUM(F31:F33)</f>
        <v>-205997.00999999998</v>
      </c>
      <c r="G34" s="6"/>
      <c r="H34" s="21"/>
      <c r="I34" s="382"/>
      <c r="J34" s="462"/>
      <c r="K34" s="85"/>
      <c r="L34" s="457"/>
      <c r="M34" s="85"/>
      <c r="N34" s="2"/>
      <c r="O34" s="95" t="s">
        <v>1</v>
      </c>
      <c r="P34" s="463">
        <f>P31-P32-P33</f>
        <v>86308.130000000034</v>
      </c>
      <c r="Q34" s="464" t="e">
        <f>Q31-Q32+#REF!</f>
        <v>#REF!</v>
      </c>
      <c r="R34" s="48" t="e">
        <f>R31-R32+#REF!</f>
        <v>#REF!</v>
      </c>
      <c r="S34" s="463">
        <f t="shared" ref="S34:T34" si="6">S31-S32-S33</f>
        <v>7177</v>
      </c>
      <c r="T34" s="463">
        <f t="shared" si="6"/>
        <v>79131.130000000034</v>
      </c>
      <c r="V34" s="59"/>
    </row>
    <row r="35" spans="1:43" ht="15.75" thickTop="1" x14ac:dyDescent="0.25">
      <c r="A35" s="21" t="s">
        <v>0</v>
      </c>
      <c r="B35" s="382">
        <f>'LWVC Summary'!$C$7</f>
        <v>185746.02000000002</v>
      </c>
      <c r="C35" s="64">
        <v>442826.77390390629</v>
      </c>
      <c r="D35" s="24">
        <f>B35-C35</f>
        <v>-257080.75390390627</v>
      </c>
      <c r="E35" s="22">
        <v>459967</v>
      </c>
      <c r="F35" s="46">
        <f>B35-E35</f>
        <v>-274220.98</v>
      </c>
      <c r="G35" s="6"/>
      <c r="H35" s="21" t="s">
        <v>24</v>
      </c>
      <c r="I35" s="382">
        <f>L35</f>
        <v>465216</v>
      </c>
      <c r="J35" s="148">
        <f>Q12+C39</f>
        <v>383997</v>
      </c>
      <c r="K35" s="81">
        <f>+J35-L35</f>
        <v>-81219</v>
      </c>
      <c r="L35" s="457">
        <f>E39+S12</f>
        <v>465216</v>
      </c>
      <c r="M35" s="85">
        <f>I35-L35</f>
        <v>0</v>
      </c>
      <c r="N35" s="2"/>
      <c r="O35" s="95"/>
      <c r="P35" s="458"/>
      <c r="Q35" s="461"/>
      <c r="R35" s="46"/>
      <c r="S35" s="25"/>
      <c r="T35" s="81"/>
      <c r="V35" s="59"/>
    </row>
    <row r="36" spans="1:43" s="415" customFormat="1" x14ac:dyDescent="0.25">
      <c r="A36" s="21" t="s">
        <v>427</v>
      </c>
      <c r="B36" s="155">
        <v>0</v>
      </c>
      <c r="C36" s="64">
        <v>0</v>
      </c>
      <c r="D36" s="24">
        <f>B36-C36</f>
        <v>0</v>
      </c>
      <c r="E36" s="22"/>
      <c r="F36" s="46">
        <f>B36-E36</f>
        <v>0</v>
      </c>
      <c r="G36" s="6"/>
      <c r="H36" s="21"/>
      <c r="I36" s="382"/>
      <c r="J36" s="148"/>
      <c r="K36" s="81"/>
      <c r="L36" s="457"/>
      <c r="M36" s="85"/>
      <c r="N36" s="2"/>
      <c r="O36" s="95" t="s">
        <v>24</v>
      </c>
      <c r="P36" s="458">
        <f>+S36</f>
        <v>170763</v>
      </c>
      <c r="Q36" s="461">
        <f>+P36</f>
        <v>170763</v>
      </c>
      <c r="R36" s="24">
        <f>P36-Q36</f>
        <v>0</v>
      </c>
      <c r="S36" s="25">
        <f>+E39-57023</f>
        <v>170763</v>
      </c>
      <c r="T36" s="81">
        <f>P36-S36</f>
        <v>0</v>
      </c>
      <c r="U36" s="420"/>
      <c r="V36" s="59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0"/>
      <c r="AK36" s="420"/>
      <c r="AL36" s="420"/>
      <c r="AM36" s="420"/>
      <c r="AN36" s="420"/>
      <c r="AO36" s="420"/>
      <c r="AP36" s="420"/>
      <c r="AQ36" s="420"/>
    </row>
    <row r="37" spans="1:43" ht="15.75" thickBot="1" x14ac:dyDescent="0.3">
      <c r="A37" s="21" t="s">
        <v>1</v>
      </c>
      <c r="B37" s="26">
        <f>+B34-B35-B36</f>
        <v>72400.97</v>
      </c>
      <c r="C37" s="65">
        <v>91223.936096093676</v>
      </c>
      <c r="D37" s="370">
        <f>B37-C37</f>
        <v>-18822.966096093674</v>
      </c>
      <c r="E37" s="28">
        <f>E34-E35</f>
        <v>4177</v>
      </c>
      <c r="F37" s="48">
        <f>+F34+F35-F36</f>
        <v>-480217.99</v>
      </c>
      <c r="G37" s="6"/>
      <c r="H37" s="21" t="s">
        <v>25</v>
      </c>
      <c r="I37" s="385">
        <f>I35+I33</f>
        <v>409764.32999999996</v>
      </c>
      <c r="J37" s="465">
        <f>C40+Q13</f>
        <v>308940.88890499994</v>
      </c>
      <c r="K37" s="82">
        <f>I37-J37</f>
        <v>100823.44109500002</v>
      </c>
      <c r="L37" s="466">
        <f>L35+L33</f>
        <v>494827</v>
      </c>
      <c r="M37" s="83">
        <f>I37-L37</f>
        <v>-85062.670000000042</v>
      </c>
      <c r="N37" s="2"/>
      <c r="O37" s="95" t="s">
        <v>25</v>
      </c>
      <c r="P37" s="467">
        <f>P34+P36</f>
        <v>257071.13000000003</v>
      </c>
      <c r="Q37" s="464" t="e">
        <f>+Q34+Q36</f>
        <v>#REF!</v>
      </c>
      <c r="R37" s="370" t="e">
        <f>P37-Q37</f>
        <v>#REF!</v>
      </c>
      <c r="S37" s="34">
        <f>S34+S36</f>
        <v>177940</v>
      </c>
      <c r="T37" s="83">
        <f>P37-S37</f>
        <v>79131.130000000034</v>
      </c>
      <c r="U37" s="59"/>
    </row>
    <row r="38" spans="1:43" ht="15.75" thickTop="1" x14ac:dyDescent="0.25">
      <c r="A38" s="21"/>
      <c r="B38" s="383"/>
      <c r="C38" s="66"/>
      <c r="D38" s="50"/>
      <c r="E38" s="7"/>
      <c r="F38" s="50"/>
      <c r="G38" s="6"/>
      <c r="H38" s="21"/>
      <c r="I38" s="75"/>
      <c r="J38" s="148"/>
      <c r="K38" s="81"/>
      <c r="L38" s="61"/>
      <c r="M38" s="81"/>
      <c r="N38" s="2"/>
      <c r="O38" s="95"/>
      <c r="P38" s="469"/>
      <c r="Q38" s="468"/>
      <c r="R38" s="50"/>
      <c r="S38" s="7"/>
      <c r="T38" s="84"/>
      <c r="V38" s="59"/>
    </row>
    <row r="39" spans="1:43" x14ac:dyDescent="0.25">
      <c r="A39" s="21" t="s">
        <v>24</v>
      </c>
      <c r="B39" s="384">
        <v>227786</v>
      </c>
      <c r="C39" s="406">
        <v>146567</v>
      </c>
      <c r="D39" s="24">
        <f>E39-C39</f>
        <v>81219</v>
      </c>
      <c r="E39" s="30">
        <v>227786</v>
      </c>
      <c r="F39" s="49">
        <f>E39-B39</f>
        <v>0</v>
      </c>
      <c r="G39" s="6"/>
      <c r="H39" s="32" t="s">
        <v>2</v>
      </c>
      <c r="I39" s="383"/>
      <c r="J39" s="95"/>
      <c r="K39" s="84"/>
      <c r="L39" s="468"/>
      <c r="M39" s="84"/>
      <c r="N39" s="2"/>
      <c r="O39" s="470" t="s">
        <v>2</v>
      </c>
      <c r="P39" s="469"/>
      <c r="Q39" s="468"/>
      <c r="R39" s="50"/>
      <c r="S39" s="7"/>
      <c r="T39" s="81"/>
      <c r="V39" s="59"/>
    </row>
    <row r="40" spans="1:43" ht="15.75" thickBot="1" x14ac:dyDescent="0.3">
      <c r="A40" s="21" t="s">
        <v>25</v>
      </c>
      <c r="B40" s="104">
        <f>B37+B39</f>
        <v>300186.96999999997</v>
      </c>
      <c r="C40" s="97">
        <v>237790.93609609368</v>
      </c>
      <c r="D40" s="370">
        <f>B40-C40</f>
        <v>62396.033903906296</v>
      </c>
      <c r="E40" s="27">
        <f>E39+E37</f>
        <v>231963</v>
      </c>
      <c r="F40" s="48">
        <f>B40-E40</f>
        <v>68223.969999999972</v>
      </c>
      <c r="G40" s="6"/>
      <c r="H40" s="21" t="s">
        <v>22</v>
      </c>
      <c r="I40" s="396">
        <f>B17</f>
        <v>39047.230000000003</v>
      </c>
      <c r="J40" s="462">
        <f>+Q17</f>
        <v>39046</v>
      </c>
      <c r="K40" s="81">
        <f>I40-J40</f>
        <v>1.2300000000032014</v>
      </c>
      <c r="L40" s="457">
        <v>39046</v>
      </c>
      <c r="M40" s="85">
        <f t="shared" ref="M40:M50" si="7">I40-L40</f>
        <v>1.2300000000032014</v>
      </c>
      <c r="N40" s="2"/>
      <c r="O40" s="95" t="s">
        <v>4</v>
      </c>
      <c r="P40" s="471">
        <f>+B46</f>
        <v>142070.76999999996</v>
      </c>
      <c r="Q40" s="457">
        <f>+C46</f>
        <v>30904.306096093671</v>
      </c>
      <c r="R40" s="52">
        <f>P40-Q40</f>
        <v>111166.46390390629</v>
      </c>
      <c r="S40" s="22">
        <f>+E46</f>
        <v>0</v>
      </c>
      <c r="T40" s="85">
        <f>P40-S40</f>
        <v>142070.76999999996</v>
      </c>
    </row>
    <row r="41" spans="1:43" ht="15.75" thickTop="1" x14ac:dyDescent="0.25">
      <c r="A41" s="21"/>
      <c r="B41" s="383"/>
      <c r="C41" s="66"/>
      <c r="D41" s="50"/>
      <c r="E41" s="7"/>
      <c r="F41" s="50"/>
      <c r="G41" s="6"/>
      <c r="H41" s="21" t="s">
        <v>20</v>
      </c>
      <c r="I41" s="396">
        <f>B44</f>
        <v>43116.2</v>
      </c>
      <c r="J41" s="462">
        <f>+C44</f>
        <v>50682.92</v>
      </c>
      <c r="K41" s="85">
        <f>I41-J41</f>
        <v>-7566.7200000000012</v>
      </c>
      <c r="L41" s="457">
        <f>+E44</f>
        <v>54023</v>
      </c>
      <c r="M41" s="85">
        <f t="shared" si="7"/>
        <v>-10906.800000000003</v>
      </c>
      <c r="N41" s="2"/>
      <c r="O41" s="95" t="s">
        <v>236</v>
      </c>
      <c r="P41" s="471">
        <f>+B43</f>
        <v>0</v>
      </c>
      <c r="Q41" s="457">
        <v>0</v>
      </c>
      <c r="R41" s="52">
        <f>P41-Q41</f>
        <v>0</v>
      </c>
      <c r="S41" s="22">
        <v>0</v>
      </c>
      <c r="T41" s="85"/>
      <c r="U41" s="61"/>
    </row>
    <row r="42" spans="1:43" x14ac:dyDescent="0.25">
      <c r="A42" s="32" t="s">
        <v>2</v>
      </c>
      <c r="B42" s="383"/>
      <c r="C42" s="66"/>
      <c r="D42" s="50"/>
      <c r="E42" s="7"/>
      <c r="F42" s="50"/>
      <c r="G42" s="6"/>
      <c r="H42" s="21" t="s">
        <v>23</v>
      </c>
      <c r="I42" s="396">
        <f>B45</f>
        <v>0</v>
      </c>
      <c r="J42" s="462">
        <f>+C45</f>
        <v>11203.71</v>
      </c>
      <c r="K42" s="85">
        <f t="shared" ref="K42:K45" si="8">I42-J42</f>
        <v>-11203.71</v>
      </c>
      <c r="L42" s="457">
        <f>+E45</f>
        <v>0</v>
      </c>
      <c r="M42" s="85">
        <f t="shared" si="7"/>
        <v>0</v>
      </c>
      <c r="N42" s="2"/>
      <c r="O42" s="95" t="s">
        <v>5</v>
      </c>
      <c r="P42" s="471">
        <f>B47</f>
        <v>115000</v>
      </c>
      <c r="Q42" s="457">
        <f>+C47</f>
        <v>145000</v>
      </c>
      <c r="R42" s="392">
        <f>P42-Q42</f>
        <v>-30000</v>
      </c>
      <c r="S42" s="22">
        <f>+E47</f>
        <v>177940</v>
      </c>
      <c r="T42" s="85">
        <f>P42-S42</f>
        <v>-62940</v>
      </c>
    </row>
    <row r="43" spans="1:43" ht="15.75" thickBot="1" x14ac:dyDescent="0.3">
      <c r="A43" s="38"/>
      <c r="B43" s="382"/>
      <c r="C43" s="66">
        <v>0</v>
      </c>
      <c r="D43" s="50"/>
      <c r="E43" s="22">
        <v>0</v>
      </c>
      <c r="F43" s="46">
        <f>B43-E43</f>
        <v>0</v>
      </c>
      <c r="G43" s="6"/>
      <c r="H43" s="38" t="s">
        <v>236</v>
      </c>
      <c r="I43" s="396">
        <f>B43</f>
        <v>0</v>
      </c>
      <c r="J43" s="462">
        <v>0</v>
      </c>
      <c r="K43" s="85">
        <f t="shared" si="8"/>
        <v>0</v>
      </c>
      <c r="L43" s="457">
        <f>+E43</f>
        <v>0</v>
      </c>
      <c r="M43" s="85">
        <f t="shared" si="7"/>
        <v>0</v>
      </c>
      <c r="N43" s="2"/>
      <c r="O43" s="443" t="s">
        <v>13</v>
      </c>
      <c r="P43" s="473">
        <f>SUM(P40:P42)</f>
        <v>257070.76999999996</v>
      </c>
      <c r="Q43" s="474">
        <f>SUM(Q40:Q42)</f>
        <v>175904.30609609367</v>
      </c>
      <c r="R43" s="404">
        <f>SUM(R40:R42)</f>
        <v>81166.463903906289</v>
      </c>
      <c r="S43" s="56">
        <f>SUM(S40:S42)</f>
        <v>177940</v>
      </c>
      <c r="T43" s="86">
        <f>SUM(T40:T42)</f>
        <v>79130.76999999996</v>
      </c>
      <c r="V43" s="59"/>
      <c r="W43" s="59"/>
    </row>
    <row r="44" spans="1:43" x14ac:dyDescent="0.25">
      <c r="A44" s="21" t="s">
        <v>20</v>
      </c>
      <c r="B44" s="382">
        <f>'LWVC Summary'!C17</f>
        <v>43116.2</v>
      </c>
      <c r="C44" s="98">
        <v>50682.92</v>
      </c>
      <c r="D44" s="392">
        <f>B44-C44</f>
        <v>-7566.7200000000012</v>
      </c>
      <c r="E44" s="22">
        <v>54023</v>
      </c>
      <c r="F44" s="46">
        <f>B44-E44</f>
        <v>-10906.800000000003</v>
      </c>
      <c r="G44" s="6"/>
      <c r="H44" s="21" t="s">
        <v>4</v>
      </c>
      <c r="I44" s="396">
        <f>+B46+P18</f>
        <v>88811.679999999964</v>
      </c>
      <c r="J44" s="472">
        <f>+C46+Q18</f>
        <v>55904.306096093671</v>
      </c>
      <c r="K44" s="85">
        <f t="shared" si="8"/>
        <v>32907.373903906293</v>
      </c>
      <c r="L44" s="457">
        <f>+S18</f>
        <v>0</v>
      </c>
      <c r="M44" s="85">
        <f t="shared" si="7"/>
        <v>88811.679999999964</v>
      </c>
      <c r="N44" s="2"/>
      <c r="O44" s="2"/>
      <c r="P44" s="61">
        <f>+P43-P37</f>
        <v>-0.36000000007334165</v>
      </c>
      <c r="Q44" s="475"/>
      <c r="S44" s="59"/>
      <c r="V44" s="59"/>
      <c r="W44" s="59"/>
    </row>
    <row r="45" spans="1:43" ht="19.5" thickBot="1" x14ac:dyDescent="0.35">
      <c r="A45" s="21" t="s">
        <v>23</v>
      </c>
      <c r="B45" s="382">
        <f>'LWVC Summary'!C16</f>
        <v>0</v>
      </c>
      <c r="C45" s="98">
        <v>11203.71</v>
      </c>
      <c r="D45" s="392">
        <f>B45-C45</f>
        <v>-11203.71</v>
      </c>
      <c r="E45" s="487">
        <v>0</v>
      </c>
      <c r="F45" s="46">
        <f>B45-E45</f>
        <v>0</v>
      </c>
      <c r="G45" s="6"/>
      <c r="H45" s="21" t="s">
        <v>5</v>
      </c>
      <c r="I45" s="397">
        <f>+B47+P19</f>
        <v>123221.8</v>
      </c>
      <c r="J45" s="462">
        <f>+C47+C19</f>
        <v>184373.59783562497</v>
      </c>
      <c r="K45" s="85">
        <f t="shared" si="8"/>
        <v>-61151.797835624966</v>
      </c>
      <c r="L45" s="457">
        <f>+E47+S19</f>
        <v>228086</v>
      </c>
      <c r="M45" s="278">
        <f t="shared" si="7"/>
        <v>-104864.2</v>
      </c>
      <c r="N45" s="2"/>
      <c r="O45" s="479" t="s">
        <v>17</v>
      </c>
      <c r="P45" s="61"/>
      <c r="Q45" s="449"/>
      <c r="R45" s="8"/>
      <c r="S45" s="7"/>
      <c r="T45" s="2"/>
      <c r="U45" s="2"/>
      <c r="V45" s="59"/>
    </row>
    <row r="46" spans="1:43" ht="45.75" thickBot="1" x14ac:dyDescent="0.3">
      <c r="A46" s="21" t="s">
        <v>4</v>
      </c>
      <c r="B46" s="382">
        <f>+'LWVC Summary'!C19</f>
        <v>142070.76999999996</v>
      </c>
      <c r="C46" s="98">
        <v>30904.306096093671</v>
      </c>
      <c r="D46" s="392">
        <f>B46-C46</f>
        <v>111166.46390390629</v>
      </c>
      <c r="E46" s="22">
        <v>0</v>
      </c>
      <c r="F46" s="46">
        <f>B46-E46</f>
        <v>142070.76999999996</v>
      </c>
      <c r="G46" s="6"/>
      <c r="H46" s="32" t="s">
        <v>13</v>
      </c>
      <c r="I46" s="398">
        <f>SUM(I40:I45)</f>
        <v>294196.90999999997</v>
      </c>
      <c r="J46" s="476">
        <f>SUM(J40:J45)</f>
        <v>341210.53393171867</v>
      </c>
      <c r="K46" s="377">
        <f>I46-J46</f>
        <v>-47013.623931718699</v>
      </c>
      <c r="L46" s="477">
        <f>SUM(L40:L45)</f>
        <v>321155</v>
      </c>
      <c r="M46" s="478">
        <f t="shared" si="7"/>
        <v>-26958.090000000026</v>
      </c>
      <c r="N46" s="2"/>
      <c r="O46" s="170"/>
      <c r="P46" s="452" t="s">
        <v>476</v>
      </c>
      <c r="Q46" s="454" t="s">
        <v>18</v>
      </c>
      <c r="R46" s="391" t="s">
        <v>19</v>
      </c>
      <c r="S46" s="44" t="s">
        <v>26</v>
      </c>
      <c r="T46" s="79" t="s">
        <v>7</v>
      </c>
    </row>
    <row r="47" spans="1:43" s="3" customFormat="1" ht="25.5" customHeight="1" thickBot="1" x14ac:dyDescent="0.3">
      <c r="A47" s="21" t="s">
        <v>5</v>
      </c>
      <c r="B47" s="471">
        <v>115000</v>
      </c>
      <c r="C47" s="407">
        <v>145000</v>
      </c>
      <c r="D47" s="392">
        <f>B47-C47</f>
        <v>-30000</v>
      </c>
      <c r="E47" s="22">
        <f>E40-E44</f>
        <v>177940</v>
      </c>
      <c r="F47" s="46">
        <f>B47-E47</f>
        <v>-62940</v>
      </c>
      <c r="G47" s="6"/>
      <c r="H47" s="38" t="s">
        <v>416</v>
      </c>
      <c r="I47" s="399">
        <f>I16</f>
        <v>44872.23</v>
      </c>
      <c r="J47" s="480" t="e">
        <f>+#REF!</f>
        <v>#REF!</v>
      </c>
      <c r="K47" s="85" t="e">
        <f t="shared" ref="K47:K52" si="9">I47-J47</f>
        <v>#REF!</v>
      </c>
      <c r="L47" s="481">
        <f>+L16</f>
        <v>68787</v>
      </c>
      <c r="M47" s="278">
        <f t="shared" si="7"/>
        <v>-23914.769999999997</v>
      </c>
      <c r="N47" s="2"/>
      <c r="O47" s="170"/>
      <c r="P47" s="482"/>
      <c r="Q47" s="454"/>
      <c r="R47" s="391"/>
      <c r="S47" s="44"/>
      <c r="T47" s="79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s="3" customFormat="1" x14ac:dyDescent="0.25">
      <c r="A48" s="21"/>
      <c r="B48" s="382"/>
      <c r="C48" s="407"/>
      <c r="D48" s="392"/>
      <c r="E48" s="22"/>
      <c r="F48" s="46"/>
      <c r="G48" s="6"/>
      <c r="H48" s="21" t="s">
        <v>15</v>
      </c>
      <c r="I48" s="399">
        <f>+P23</f>
        <v>67694.740000000005</v>
      </c>
      <c r="J48" s="462">
        <f>+Q22</f>
        <v>53000</v>
      </c>
      <c r="K48" s="85">
        <f t="shared" si="9"/>
        <v>14694.740000000005</v>
      </c>
      <c r="L48" s="481">
        <f>+L17</f>
        <v>76987</v>
      </c>
      <c r="M48" s="278">
        <f t="shared" si="7"/>
        <v>-9292.2599999999948</v>
      </c>
      <c r="N48" s="2"/>
      <c r="O48" s="170" t="s">
        <v>27</v>
      </c>
      <c r="P48" s="538">
        <f>+P31+B4</f>
        <v>311620.79000000004</v>
      </c>
      <c r="Q48" s="456">
        <f>C4+Q31</f>
        <v>689669.02999999991</v>
      </c>
      <c r="R48" s="105">
        <f>P48-Q48</f>
        <v>-378048.23999999987</v>
      </c>
      <c r="S48" s="45">
        <f>E4+E31</f>
        <v>700564</v>
      </c>
      <c r="T48" s="80">
        <f>P48-S48</f>
        <v>-388943.20999999996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s="3" customFormat="1" ht="15.75" thickBot="1" x14ac:dyDescent="0.3">
      <c r="A49" s="36" t="s">
        <v>8</v>
      </c>
      <c r="B49" s="394">
        <f>SUM(B43:B47)</f>
        <v>300186.96999999997</v>
      </c>
      <c r="C49" s="408">
        <f>C40</f>
        <v>237790.93609609368</v>
      </c>
      <c r="D49" s="395">
        <f>SUM(D44:D47)</f>
        <v>62396.033903906296</v>
      </c>
      <c r="E49" s="54">
        <f>SUM(E43:E47)</f>
        <v>231963</v>
      </c>
      <c r="F49" s="77">
        <f>B49-E49</f>
        <v>68223.969999999972</v>
      </c>
      <c r="G49" s="7"/>
      <c r="H49" s="21" t="s">
        <v>420</v>
      </c>
      <c r="I49" s="546">
        <f>+P24</f>
        <v>3000</v>
      </c>
      <c r="J49" s="462"/>
      <c r="K49" s="85">
        <f t="shared" si="9"/>
        <v>3000</v>
      </c>
      <c r="L49" s="504">
        <f>+L18</f>
        <v>15000</v>
      </c>
      <c r="M49" s="278">
        <f t="shared" si="7"/>
        <v>-12000</v>
      </c>
      <c r="N49" s="2"/>
      <c r="O49" s="95" t="s">
        <v>0</v>
      </c>
      <c r="P49" s="403">
        <f>+P32+B7</f>
        <v>293571.71999999997</v>
      </c>
      <c r="Q49" s="461">
        <f>+Q32+C7</f>
        <v>568069.12606828124</v>
      </c>
      <c r="R49" s="24">
        <f>P49-Q49</f>
        <v>-274497.40606828127</v>
      </c>
      <c r="S49" s="51">
        <f>E35+E7-28000</f>
        <v>638875</v>
      </c>
      <c r="T49" s="278">
        <f>P49-S49</f>
        <v>-345303.28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x14ac:dyDescent="0.25">
      <c r="A50" s="39"/>
      <c r="B50" s="25"/>
      <c r="C50" s="7"/>
      <c r="D50" s="7"/>
      <c r="E50" s="7"/>
      <c r="F50" s="7"/>
      <c r="G50" s="6"/>
      <c r="H50" s="21" t="str">
        <f>H19</f>
        <v>RESTRICTED: Easy Voter (PLP)</v>
      </c>
      <c r="I50" s="396">
        <f>+P25</f>
        <v>0</v>
      </c>
      <c r="J50" s="462">
        <f>+J19</f>
        <v>0</v>
      </c>
      <c r="K50" s="85">
        <f t="shared" si="9"/>
        <v>0</v>
      </c>
      <c r="L50" s="457">
        <f>L19</f>
        <v>12898</v>
      </c>
      <c r="M50" s="278">
        <f t="shared" si="7"/>
        <v>-12898</v>
      </c>
      <c r="N50" s="2"/>
      <c r="O50" s="95" t="s">
        <v>255</v>
      </c>
      <c r="P50" s="403">
        <f>+B9</f>
        <v>-15000</v>
      </c>
      <c r="Q50" s="461">
        <f>+C9</f>
        <v>40300</v>
      </c>
      <c r="R50" s="24">
        <f>P50-Q50</f>
        <v>-55300</v>
      </c>
      <c r="S50" s="51">
        <f>+E9</f>
        <v>12589</v>
      </c>
      <c r="T50" s="278">
        <f>P50-S50</f>
        <v>-27589</v>
      </c>
    </row>
    <row r="51" spans="1:43" ht="15.75" thickBot="1" x14ac:dyDescent="0.3">
      <c r="A51" s="361" t="s">
        <v>239</v>
      </c>
      <c r="B51" s="361"/>
      <c r="C51" s="363"/>
      <c r="D51" s="361"/>
      <c r="E51" s="364"/>
      <c r="F51" s="414"/>
      <c r="G51" s="7"/>
      <c r="H51" s="89" t="s">
        <v>16</v>
      </c>
      <c r="I51" s="400">
        <f>SUM(I47:I50)</f>
        <v>115566.97</v>
      </c>
      <c r="J51" s="483" t="e">
        <f>SUM(J47:J50)</f>
        <v>#REF!</v>
      </c>
      <c r="K51" s="377" t="e">
        <f t="shared" si="9"/>
        <v>#REF!</v>
      </c>
      <c r="L51" s="477">
        <f>SUM(L47:L50)</f>
        <v>173672</v>
      </c>
      <c r="M51" s="478">
        <f>SUM(M47:M50)</f>
        <v>-58105.029999999992</v>
      </c>
      <c r="N51" s="2"/>
      <c r="O51" s="95" t="s">
        <v>1</v>
      </c>
      <c r="P51" s="463">
        <f>P48-P49-P50</f>
        <v>33049.070000000065</v>
      </c>
      <c r="Q51" s="464" t="e">
        <f>Q48-Q49+#REF!-Q50</f>
        <v>#REF!</v>
      </c>
      <c r="R51" s="48" t="e">
        <f>P51-Q51</f>
        <v>#REF!</v>
      </c>
      <c r="S51" s="463">
        <f t="shared" ref="S51:T51" si="10">S48-S49-S50</f>
        <v>49100</v>
      </c>
      <c r="T51" s="463">
        <f t="shared" si="10"/>
        <v>-16050.929999999935</v>
      </c>
    </row>
    <row r="52" spans="1:43" ht="15.75" thickBot="1" x14ac:dyDescent="0.3">
      <c r="A52" s="357"/>
      <c r="B52" s="358" t="s">
        <v>238</v>
      </c>
      <c r="C52" s="357"/>
      <c r="D52" s="357"/>
      <c r="E52" s="358" t="s">
        <v>237</v>
      </c>
      <c r="F52" s="361" t="s">
        <v>44</v>
      </c>
      <c r="G52" s="7"/>
      <c r="H52" s="36" t="s">
        <v>30</v>
      </c>
      <c r="I52" s="401">
        <f>+I51+I46</f>
        <v>409763.88</v>
      </c>
      <c r="J52" s="484" t="e">
        <f>+J51+J46</f>
        <v>#REF!</v>
      </c>
      <c r="K52" s="379" t="e">
        <f t="shared" si="9"/>
        <v>#REF!</v>
      </c>
      <c r="L52" s="353">
        <f>L51+L46</f>
        <v>494827</v>
      </c>
      <c r="M52" s="485">
        <f>I52-L52</f>
        <v>-85063.12</v>
      </c>
      <c r="N52" s="2"/>
      <c r="O52" s="95"/>
      <c r="P52" s="458"/>
      <c r="Q52" s="461"/>
      <c r="R52" s="46"/>
      <c r="S52" s="25"/>
      <c r="T52" s="81"/>
    </row>
    <row r="53" spans="1:43" x14ac:dyDescent="0.25">
      <c r="A53" s="357"/>
      <c r="B53" s="359"/>
      <c r="C53" s="357"/>
      <c r="D53" s="357"/>
      <c r="E53" s="359"/>
      <c r="F53" s="357"/>
      <c r="G53" s="7"/>
      <c r="H53" s="6"/>
      <c r="I53" s="534">
        <f>+I52-I37</f>
        <v>-0.44999999995343387</v>
      </c>
      <c r="J53" s="61"/>
      <c r="K53" s="61"/>
      <c r="L53" s="475"/>
      <c r="M53" s="3"/>
      <c r="N53" s="2"/>
      <c r="O53" s="95" t="s">
        <v>24</v>
      </c>
      <c r="P53" s="458">
        <f>+S53</f>
        <v>218032</v>
      </c>
      <c r="Q53" s="461">
        <f>+Q36+C12</f>
        <v>253136</v>
      </c>
      <c r="R53" s="24">
        <f>Q53-S53</f>
        <v>35104</v>
      </c>
      <c r="S53" s="25">
        <f>E39+E12-57023</f>
        <v>218032</v>
      </c>
      <c r="T53" s="81">
        <f>P53-S53</f>
        <v>0</v>
      </c>
      <c r="V53" s="356"/>
    </row>
    <row r="54" spans="1:43" ht="15.75" thickBot="1" x14ac:dyDescent="0.3">
      <c r="A54" s="357"/>
      <c r="B54" s="360"/>
      <c r="C54" s="357"/>
      <c r="D54" s="357"/>
      <c r="E54" s="360"/>
      <c r="F54" s="365"/>
      <c r="G54" s="7"/>
      <c r="H54" s="94"/>
      <c r="I54" s="57"/>
      <c r="J54" s="129"/>
      <c r="K54" s="61"/>
      <c r="L54" s="475"/>
      <c r="M54" s="447"/>
      <c r="N54" s="2"/>
      <c r="O54" s="95" t="s">
        <v>25</v>
      </c>
      <c r="P54" s="467">
        <f>P51+P53</f>
        <v>251081.07000000007</v>
      </c>
      <c r="Q54" s="464" t="e">
        <f>+Q51+Q53</f>
        <v>#REF!</v>
      </c>
      <c r="R54" s="370" t="e">
        <f>P54-Q54</f>
        <v>#REF!</v>
      </c>
      <c r="S54" s="34">
        <f>S51+S53</f>
        <v>267132</v>
      </c>
      <c r="T54" s="83">
        <f>P54-S54</f>
        <v>-16050.929999999935</v>
      </c>
    </row>
    <row r="55" spans="1:43" ht="15.75" thickTop="1" x14ac:dyDescent="0.25">
      <c r="A55" s="540"/>
      <c r="B55" s="360"/>
      <c r="C55" s="405"/>
      <c r="D55" s="357"/>
      <c r="E55" s="360"/>
      <c r="F55" s="365"/>
      <c r="G55" s="7"/>
      <c r="J55" s="368"/>
      <c r="K55" s="3"/>
      <c r="L55" s="3"/>
      <c r="M55" s="3"/>
      <c r="N55" s="2"/>
      <c r="O55" s="95"/>
      <c r="P55" s="469"/>
      <c r="Q55" s="468"/>
      <c r="R55" s="50"/>
      <c r="S55" s="7"/>
      <c r="T55" s="84"/>
    </row>
    <row r="56" spans="1:43" x14ac:dyDescent="0.25">
      <c r="A56" s="514" t="s">
        <v>453</v>
      </c>
      <c r="B56" s="515"/>
      <c r="C56" s="514"/>
      <c r="D56" s="514"/>
      <c r="E56" s="515"/>
      <c r="F56" s="365"/>
      <c r="G56" s="1"/>
      <c r="H56" s="94"/>
      <c r="I56" s="439"/>
      <c r="J56" s="3"/>
      <c r="K56" s="3"/>
      <c r="L56" s="475"/>
      <c r="M56" s="3"/>
      <c r="N56" s="2"/>
      <c r="O56" s="470" t="s">
        <v>2</v>
      </c>
      <c r="P56" s="469"/>
      <c r="Q56" s="468"/>
      <c r="R56" s="50"/>
      <c r="S56" s="7"/>
      <c r="T56" s="81"/>
    </row>
    <row r="57" spans="1:43" x14ac:dyDescent="0.25">
      <c r="A57" s="517" t="s">
        <v>477</v>
      </c>
      <c r="B57" s="518"/>
      <c r="C57" s="516"/>
      <c r="D57" s="516"/>
      <c r="E57" s="518"/>
      <c r="F57" s="519"/>
      <c r="G57" s="520"/>
      <c r="H57" s="521"/>
      <c r="I57" s="520"/>
      <c r="J57" s="520"/>
      <c r="K57" s="520"/>
      <c r="L57" s="520"/>
      <c r="M57" s="3"/>
      <c r="N57" s="2"/>
      <c r="O57" s="138" t="s">
        <v>236</v>
      </c>
      <c r="P57" s="471">
        <f>+I49</f>
        <v>3000</v>
      </c>
      <c r="Q57" s="462">
        <v>0</v>
      </c>
      <c r="R57" s="392">
        <f>P57-Q57</f>
        <v>3000</v>
      </c>
      <c r="S57" s="64">
        <f>+E43</f>
        <v>0</v>
      </c>
      <c r="T57" s="85">
        <f>P57-S57</f>
        <v>3000</v>
      </c>
    </row>
    <row r="58" spans="1:43" x14ac:dyDescent="0.25">
      <c r="A58" s="547" t="s">
        <v>503</v>
      </c>
      <c r="B58" s="548"/>
      <c r="C58" s="547"/>
      <c r="D58" s="547"/>
      <c r="E58" s="548"/>
      <c r="F58" s="366"/>
      <c r="I58" s="439"/>
      <c r="J58" s="3"/>
      <c r="K58" s="3"/>
      <c r="L58" s="3"/>
      <c r="M58" s="3"/>
      <c r="N58" s="2"/>
      <c r="O58" s="95" t="str">
        <f>H40</f>
        <v>Strategic Initiative</v>
      </c>
      <c r="P58" s="471">
        <f>B17</f>
        <v>39047.230000000003</v>
      </c>
      <c r="Q58" s="461">
        <f>J40</f>
        <v>39046</v>
      </c>
      <c r="R58" s="24">
        <f>P58-Q58</f>
        <v>1.2300000000032014</v>
      </c>
      <c r="S58" s="22">
        <f>+E17</f>
        <v>39046</v>
      </c>
      <c r="T58" s="85">
        <f>P58-S58</f>
        <v>1.2300000000032014</v>
      </c>
    </row>
    <row r="59" spans="1:43" x14ac:dyDescent="0.25">
      <c r="A59" s="357"/>
      <c r="B59" s="360"/>
      <c r="C59" s="357"/>
      <c r="D59" s="357"/>
      <c r="E59" s="362"/>
      <c r="F59" s="366"/>
      <c r="J59" s="3"/>
      <c r="K59" s="3"/>
      <c r="L59" s="3"/>
      <c r="M59" s="3"/>
      <c r="N59" s="2"/>
      <c r="O59" s="95" t="s">
        <v>4</v>
      </c>
      <c r="P59" s="471">
        <f>+B46+B18</f>
        <v>88811.679999999964</v>
      </c>
      <c r="Q59" s="457">
        <f>C46+C18</f>
        <v>55904.306096093671</v>
      </c>
      <c r="R59" s="52">
        <f>P59-Q59</f>
        <v>32907.373903906293</v>
      </c>
      <c r="S59" s="22">
        <f>E18+E46</f>
        <v>0</v>
      </c>
      <c r="T59" s="85">
        <f>P59-S59</f>
        <v>88811.679999999964</v>
      </c>
    </row>
    <row r="60" spans="1:43" x14ac:dyDescent="0.25">
      <c r="A60" s="357"/>
      <c r="B60" s="360"/>
      <c r="C60" s="357"/>
      <c r="D60" s="357"/>
      <c r="E60" s="360"/>
      <c r="F60" s="365"/>
      <c r="J60" s="3"/>
      <c r="K60" s="3"/>
      <c r="L60" s="3"/>
      <c r="M60" s="3"/>
      <c r="N60" s="2"/>
      <c r="O60" s="95" t="s">
        <v>5</v>
      </c>
      <c r="P60" s="471">
        <f>+P42+B19</f>
        <v>123221.8</v>
      </c>
      <c r="Q60" s="457">
        <f>+C47+C19</f>
        <v>184373.59783562497</v>
      </c>
      <c r="R60" s="392">
        <f>P60-Q60</f>
        <v>-61151.797835624966</v>
      </c>
      <c r="S60" s="22">
        <f>E47+E19</f>
        <v>228086</v>
      </c>
      <c r="T60" s="85">
        <f>P60-S60</f>
        <v>-104864.2</v>
      </c>
    </row>
    <row r="61" spans="1:43" ht="15.75" thickBot="1" x14ac:dyDescent="0.3">
      <c r="A61" s="357"/>
      <c r="B61" s="360"/>
      <c r="C61" s="357"/>
      <c r="D61" s="357"/>
      <c r="E61" s="360"/>
      <c r="F61" s="365"/>
      <c r="J61" s="3"/>
      <c r="K61" s="3"/>
      <c r="L61" s="3"/>
      <c r="M61" s="3"/>
      <c r="N61" s="2"/>
      <c r="O61" s="443" t="s">
        <v>13</v>
      </c>
      <c r="P61" s="473">
        <f>SUM(P58:P60)</f>
        <v>251080.70999999996</v>
      </c>
      <c r="Q61" s="474">
        <f>SUM(Q58:Q60)</f>
        <v>279323.90393171867</v>
      </c>
      <c r="R61" s="404">
        <f>SUM(R58:R60)</f>
        <v>-28243.19393171867</v>
      </c>
      <c r="S61" s="354">
        <f>SUM(S57:S60)</f>
        <v>267132</v>
      </c>
      <c r="T61" s="86">
        <f>SUM(T58:T60)</f>
        <v>-16051.290000000023</v>
      </c>
      <c r="U61" s="59"/>
      <c r="V61" s="59"/>
    </row>
    <row r="62" spans="1:43" x14ac:dyDescent="0.25">
      <c r="A62" s="361"/>
      <c r="B62" s="364"/>
      <c r="C62" s="361"/>
      <c r="D62" s="361"/>
      <c r="E62" s="364"/>
      <c r="F62" s="365"/>
      <c r="J62" s="3"/>
      <c r="K62" s="3"/>
      <c r="L62" s="3"/>
      <c r="M62" s="3"/>
      <c r="N62" s="2"/>
      <c r="O62" s="2"/>
      <c r="P62" s="61"/>
      <c r="Q62" s="61"/>
      <c r="R62" s="2"/>
      <c r="S62" s="2"/>
      <c r="T62" s="2"/>
      <c r="V62" s="59"/>
    </row>
    <row r="63" spans="1:43" x14ac:dyDescent="0.25">
      <c r="F63" s="364"/>
      <c r="J63" s="3"/>
      <c r="K63" s="3"/>
      <c r="L63" s="3"/>
      <c r="M63" s="2"/>
      <c r="N63" s="2"/>
      <c r="O63" s="2"/>
      <c r="P63" s="61">
        <f>+P61-P54</f>
        <v>-0.36000000010244548</v>
      </c>
      <c r="Q63" s="2"/>
      <c r="R63" s="2"/>
      <c r="S63" s="59"/>
      <c r="T63" s="2"/>
      <c r="V63" s="59"/>
    </row>
    <row r="64" spans="1:43" x14ac:dyDescent="0.25">
      <c r="J64" s="3"/>
      <c r="K64" s="3"/>
      <c r="L64" s="3"/>
      <c r="M64" s="2"/>
      <c r="N64" s="2"/>
      <c r="O64" s="2"/>
      <c r="P64" s="61"/>
      <c r="Q64" s="2"/>
      <c r="R64" s="2"/>
      <c r="S64" s="2"/>
      <c r="T64" s="2"/>
      <c r="AH64"/>
      <c r="AI64"/>
      <c r="AJ64"/>
      <c r="AK64"/>
      <c r="AL64"/>
      <c r="AM64"/>
      <c r="AN64"/>
      <c r="AO64"/>
      <c r="AP64"/>
      <c r="AQ64"/>
    </row>
    <row r="65" spans="1:43" x14ac:dyDescent="0.25">
      <c r="A65" s="490"/>
      <c r="B65" s="490"/>
      <c r="C65" s="490"/>
      <c r="D65" s="490"/>
      <c r="E65" s="490"/>
      <c r="J65" s="3"/>
      <c r="K65" s="3"/>
      <c r="L65" s="3"/>
      <c r="M65" s="2"/>
      <c r="N65" s="2"/>
      <c r="O65" s="2"/>
      <c r="P65" s="61"/>
      <c r="Q65" s="3"/>
      <c r="R65" s="3"/>
      <c r="S65" s="2"/>
      <c r="T65" s="2"/>
      <c r="U65" s="2"/>
      <c r="V65" s="2"/>
      <c r="W65" s="2"/>
      <c r="X65" s="2"/>
      <c r="Y65" s="2"/>
      <c r="Z65" s="2"/>
      <c r="AA65" s="2"/>
      <c r="AH65"/>
      <c r="AI65"/>
      <c r="AJ65"/>
      <c r="AK65"/>
      <c r="AL65"/>
      <c r="AM65"/>
      <c r="AN65"/>
      <c r="AO65"/>
      <c r="AP65"/>
      <c r="AQ65"/>
    </row>
    <row r="66" spans="1:43" s="490" customFormat="1" x14ac:dyDescent="0.25">
      <c r="J66" s="3"/>
      <c r="K66" s="3"/>
      <c r="L66" s="3"/>
      <c r="M66" s="2"/>
      <c r="N66" s="2"/>
      <c r="O66" s="2"/>
      <c r="P66" s="61"/>
      <c r="Q66" s="3"/>
      <c r="R66" s="3"/>
      <c r="S66" s="2"/>
      <c r="T66" s="2"/>
      <c r="U66" s="2"/>
      <c r="V66" s="2"/>
      <c r="W66" s="2"/>
      <c r="X66" s="2"/>
      <c r="Y66" s="2"/>
      <c r="Z66" s="2"/>
      <c r="AA66" s="2"/>
      <c r="AB66" s="420"/>
      <c r="AC66" s="420"/>
      <c r="AD66" s="420"/>
      <c r="AE66" s="420"/>
      <c r="AF66" s="420"/>
      <c r="AG66" s="420"/>
    </row>
    <row r="67" spans="1:43" s="490" customFormat="1" x14ac:dyDescent="0.25">
      <c r="J67" s="3"/>
      <c r="K67" s="3"/>
      <c r="L67" s="3"/>
      <c r="M67" s="2"/>
      <c r="N67" s="2"/>
      <c r="O67" s="2"/>
      <c r="P67" s="61"/>
      <c r="Q67" s="3"/>
      <c r="R67" s="3"/>
      <c r="S67" s="2"/>
      <c r="T67" s="2"/>
      <c r="U67" s="2"/>
      <c r="V67" s="2"/>
      <c r="W67" s="2"/>
      <c r="X67" s="2"/>
      <c r="Y67" s="2"/>
      <c r="Z67" s="2"/>
      <c r="AA67" s="2"/>
      <c r="AB67" s="420"/>
      <c r="AC67" s="420"/>
      <c r="AD67" s="420"/>
      <c r="AE67" s="420"/>
      <c r="AF67" s="420"/>
      <c r="AG67" s="420"/>
    </row>
    <row r="68" spans="1:43" s="490" customFormat="1" x14ac:dyDescent="0.25">
      <c r="J68" s="3"/>
      <c r="K68" s="3"/>
      <c r="L68" s="3"/>
      <c r="M68" s="2"/>
      <c r="N68" s="2"/>
      <c r="O68" s="2"/>
      <c r="P68" s="61"/>
      <c r="Q68" s="3"/>
      <c r="R68" s="3"/>
      <c r="S68" s="2"/>
      <c r="T68" s="2"/>
      <c r="U68" s="2"/>
      <c r="V68" s="2"/>
      <c r="W68" s="2"/>
      <c r="X68" s="2"/>
      <c r="Y68" s="2"/>
      <c r="Z68" s="2"/>
      <c r="AA68" s="2"/>
      <c r="AB68" s="420"/>
      <c r="AC68" s="420"/>
      <c r="AD68" s="420"/>
      <c r="AE68" s="420"/>
      <c r="AF68" s="420"/>
      <c r="AG68" s="420"/>
    </row>
    <row r="69" spans="1:43" s="490" customFormat="1" x14ac:dyDescent="0.25">
      <c r="J69" s="3"/>
      <c r="K69" s="3"/>
      <c r="L69" s="3"/>
      <c r="M69" s="2"/>
      <c r="N69" s="2"/>
      <c r="O69" s="2"/>
      <c r="P69" s="61"/>
      <c r="Q69" s="3"/>
      <c r="R69" s="3"/>
      <c r="S69" s="2"/>
      <c r="T69" s="2"/>
      <c r="U69" s="2"/>
      <c r="V69" s="2"/>
      <c r="W69" s="2"/>
      <c r="X69" s="2"/>
      <c r="Y69" s="2"/>
      <c r="Z69" s="2"/>
      <c r="AA69" s="2"/>
      <c r="AB69" s="420"/>
      <c r="AC69" s="420"/>
      <c r="AD69" s="420"/>
      <c r="AE69" s="420"/>
      <c r="AF69" s="420"/>
      <c r="AG69" s="420"/>
    </row>
    <row r="70" spans="1:43" s="490" customFormat="1" x14ac:dyDescent="0.25">
      <c r="J70" s="3"/>
      <c r="K70" s="3"/>
      <c r="L70" s="3"/>
      <c r="M70" s="2"/>
      <c r="N70" s="2"/>
      <c r="O70" s="2"/>
      <c r="P70" s="61"/>
      <c r="Q70" s="3"/>
      <c r="R70" s="3"/>
      <c r="S70" s="2"/>
      <c r="T70" s="2"/>
      <c r="U70" s="2"/>
      <c r="V70" s="2"/>
      <c r="W70" s="2"/>
      <c r="X70" s="2"/>
      <c r="Y70" s="2"/>
      <c r="Z70" s="2"/>
      <c r="AA70" s="2"/>
      <c r="AB70" s="420"/>
      <c r="AC70" s="420"/>
      <c r="AD70" s="420"/>
      <c r="AE70" s="420"/>
      <c r="AF70" s="420"/>
      <c r="AG70" s="420"/>
    </row>
    <row r="71" spans="1:43" s="490" customFormat="1" x14ac:dyDescent="0.25">
      <c r="J71" s="3"/>
      <c r="K71" s="3"/>
      <c r="L71" s="3"/>
      <c r="M71" s="2"/>
      <c r="N71" s="2"/>
      <c r="O71" s="2"/>
      <c r="P71" s="61"/>
      <c r="Q71" s="3"/>
      <c r="R71" s="3"/>
      <c r="S71" s="2"/>
      <c r="T71" s="2"/>
      <c r="U71" s="2"/>
      <c r="V71" s="2"/>
      <c r="W71" s="2"/>
      <c r="X71" s="2"/>
      <c r="Y71" s="2"/>
      <c r="Z71" s="2"/>
      <c r="AA71" s="2"/>
      <c r="AB71" s="420"/>
      <c r="AC71" s="420"/>
      <c r="AD71" s="420"/>
      <c r="AE71" s="420"/>
      <c r="AF71" s="420"/>
      <c r="AG71" s="420"/>
    </row>
    <row r="72" spans="1:43" s="490" customFormat="1" x14ac:dyDescent="0.25">
      <c r="J72" s="3"/>
      <c r="K72" s="3"/>
      <c r="L72" s="3"/>
      <c r="M72" s="2"/>
      <c r="N72" s="2"/>
      <c r="O72" s="2"/>
      <c r="P72" s="61"/>
      <c r="Q72" s="3"/>
      <c r="R72" s="3"/>
      <c r="S72" s="2"/>
      <c r="T72" s="2"/>
      <c r="U72" s="2"/>
      <c r="V72" s="2"/>
      <c r="W72" s="2"/>
      <c r="X72" s="2"/>
      <c r="Y72" s="2"/>
      <c r="Z72" s="2"/>
      <c r="AA72" s="2"/>
      <c r="AB72" s="420"/>
      <c r="AC72" s="420"/>
      <c r="AD72" s="420"/>
      <c r="AE72" s="420"/>
      <c r="AF72" s="420"/>
      <c r="AG72" s="420"/>
    </row>
    <row r="73" spans="1:43" s="490" customFormat="1" x14ac:dyDescent="0.25">
      <c r="J73" s="3"/>
      <c r="K73" s="3"/>
      <c r="L73" s="3"/>
      <c r="M73" s="2"/>
      <c r="N73" s="2"/>
      <c r="O73" s="2"/>
      <c r="P73" s="61"/>
      <c r="Q73" s="3"/>
      <c r="R73" s="3"/>
      <c r="S73" s="2"/>
      <c r="T73" s="2"/>
      <c r="U73" s="2"/>
      <c r="V73" s="2"/>
      <c r="W73" s="2"/>
      <c r="X73" s="2"/>
      <c r="Y73" s="2"/>
      <c r="Z73" s="2"/>
      <c r="AA73" s="2"/>
      <c r="AB73" s="420"/>
      <c r="AC73" s="420"/>
      <c r="AD73" s="420"/>
      <c r="AE73" s="420"/>
      <c r="AF73" s="420"/>
      <c r="AG73" s="420"/>
    </row>
    <row r="74" spans="1:43" s="490" customFormat="1" x14ac:dyDescent="0.25">
      <c r="J74" s="3"/>
      <c r="K74" s="3"/>
      <c r="L74" s="3"/>
      <c r="M74" s="2"/>
      <c r="N74" s="2"/>
      <c r="O74" s="2"/>
      <c r="P74" s="61"/>
      <c r="Q74" s="3"/>
      <c r="R74" s="3"/>
      <c r="S74" s="2"/>
      <c r="T74" s="2"/>
      <c r="U74" s="2"/>
      <c r="V74" s="2"/>
      <c r="W74" s="2"/>
      <c r="X74" s="2"/>
      <c r="Y74" s="2"/>
      <c r="Z74" s="2"/>
      <c r="AA74" s="2"/>
      <c r="AB74" s="420"/>
      <c r="AC74" s="420"/>
      <c r="AD74" s="420"/>
      <c r="AE74" s="420"/>
      <c r="AF74" s="420"/>
      <c r="AG74" s="420"/>
    </row>
    <row r="75" spans="1:43" s="490" customFormat="1" x14ac:dyDescent="0.25">
      <c r="A75"/>
      <c r="B75"/>
      <c r="C75"/>
      <c r="D75"/>
      <c r="E75"/>
      <c r="J75" s="3"/>
      <c r="K75" s="3"/>
      <c r="L75" s="3"/>
      <c r="M75" s="2"/>
      <c r="N75" s="2"/>
      <c r="O75" s="2"/>
      <c r="P75" s="61"/>
      <c r="Q75" s="3"/>
      <c r="R75" s="3"/>
      <c r="S75" s="2"/>
      <c r="T75" s="2"/>
      <c r="U75" s="2"/>
      <c r="V75" s="2"/>
      <c r="W75" s="2"/>
      <c r="X75" s="2"/>
      <c r="Y75" s="2"/>
      <c r="Z75" s="2"/>
      <c r="AA75" s="2"/>
      <c r="AB75" s="420"/>
      <c r="AC75" s="420"/>
      <c r="AD75" s="420"/>
      <c r="AE75" s="420"/>
      <c r="AF75" s="420"/>
      <c r="AG75" s="420"/>
    </row>
    <row r="76" spans="1:43" ht="15.75" thickBot="1" x14ac:dyDescent="0.3">
      <c r="A76" t="s">
        <v>478</v>
      </c>
      <c r="J76" s="3"/>
      <c r="K76" s="3"/>
      <c r="L76" s="3"/>
      <c r="M76" s="3"/>
      <c r="N76" s="2"/>
      <c r="O76" s="2"/>
      <c r="P76" s="61"/>
      <c r="Q76" s="3"/>
      <c r="U76" s="2"/>
      <c r="V76" s="2"/>
      <c r="W76" s="2"/>
      <c r="X76" s="2"/>
      <c r="Y76" s="2"/>
      <c r="Z76" s="2"/>
      <c r="AA76" s="2"/>
      <c r="AH76"/>
      <c r="AI76"/>
      <c r="AJ76"/>
      <c r="AK76"/>
      <c r="AL76"/>
      <c r="AM76"/>
      <c r="AN76"/>
      <c r="AO76"/>
      <c r="AP76"/>
      <c r="AQ76"/>
    </row>
    <row r="77" spans="1:43" ht="15.75" thickBot="1" x14ac:dyDescent="0.3">
      <c r="A77" s="522"/>
      <c r="B77" s="523"/>
      <c r="C77" s="523"/>
      <c r="D77" s="523"/>
      <c r="E77" s="523"/>
      <c r="J77" s="3"/>
      <c r="K77" s="3"/>
      <c r="L77" s="3"/>
      <c r="M77" s="3"/>
      <c r="N77" s="2"/>
      <c r="O77" s="2"/>
      <c r="P77" s="61"/>
      <c r="Q77" s="3"/>
      <c r="U77" s="2"/>
      <c r="V77" s="2"/>
      <c r="W77" s="2"/>
      <c r="X77" s="2"/>
      <c r="Y77" s="2"/>
      <c r="Z77" s="2"/>
      <c r="AA77" s="2"/>
    </row>
    <row r="78" spans="1:43" x14ac:dyDescent="0.25">
      <c r="A78" s="92"/>
      <c r="B78" s="420"/>
      <c r="C78" s="420"/>
      <c r="D78" s="420"/>
      <c r="E78" s="420"/>
      <c r="F78" s="222"/>
      <c r="J78" s="3"/>
      <c r="K78" s="3"/>
      <c r="L78" s="3"/>
      <c r="M78" s="3"/>
      <c r="N78" s="2"/>
      <c r="O78" s="2"/>
      <c r="P78" s="2"/>
      <c r="Q78" s="3"/>
    </row>
    <row r="79" spans="1:43" x14ac:dyDescent="0.25">
      <c r="A79" s="136" t="s">
        <v>11</v>
      </c>
      <c r="B79" s="267" t="s">
        <v>33</v>
      </c>
      <c r="C79" s="267"/>
      <c r="D79" s="267"/>
      <c r="E79" s="267" t="s">
        <v>237</v>
      </c>
      <c r="F79" s="73"/>
      <c r="J79" s="3"/>
      <c r="K79" s="3"/>
      <c r="L79" s="3"/>
      <c r="M79" s="3"/>
      <c r="N79" s="2"/>
      <c r="O79" s="2"/>
      <c r="P79" s="2"/>
      <c r="Q79" s="3"/>
    </row>
    <row r="80" spans="1:43" x14ac:dyDescent="0.25">
      <c r="A80" s="92" t="s">
        <v>462</v>
      </c>
      <c r="B80" s="123">
        <v>237791</v>
      </c>
      <c r="C80" s="123"/>
      <c r="D80" s="123"/>
      <c r="E80" s="123">
        <v>227786</v>
      </c>
      <c r="F80" s="266" t="s">
        <v>44</v>
      </c>
      <c r="J80" s="3"/>
      <c r="K80" s="3"/>
      <c r="L80" s="3"/>
      <c r="M80" s="3"/>
      <c r="N80" s="2"/>
    </row>
    <row r="81" spans="1:43" x14ac:dyDescent="0.25">
      <c r="A81" s="21" t="s">
        <v>20</v>
      </c>
      <c r="B81" s="123">
        <v>50683</v>
      </c>
      <c r="C81" s="123"/>
      <c r="D81" s="123"/>
      <c r="E81" s="123">
        <v>57023</v>
      </c>
      <c r="F81" s="524">
        <f>+E80-B80</f>
        <v>-10005</v>
      </c>
      <c r="H81" s="367"/>
      <c r="N81" s="2"/>
    </row>
    <row r="82" spans="1:43" x14ac:dyDescent="0.25">
      <c r="A82" s="21" t="s">
        <v>23</v>
      </c>
      <c r="B82" s="123">
        <v>11204</v>
      </c>
      <c r="C82" s="123"/>
      <c r="D82" s="123"/>
      <c r="E82" s="123">
        <v>0</v>
      </c>
      <c r="F82" s="524">
        <f t="shared" ref="F82:F85" si="11">+E81-B81</f>
        <v>6340</v>
      </c>
      <c r="H82" s="367"/>
    </row>
    <row r="83" spans="1:43" x14ac:dyDescent="0.25">
      <c r="A83" s="21" t="s">
        <v>5</v>
      </c>
      <c r="B83" s="123">
        <v>145000</v>
      </c>
      <c r="C83" s="123"/>
      <c r="D83" s="123"/>
      <c r="E83" s="123">
        <v>145000</v>
      </c>
      <c r="F83" s="524">
        <f t="shared" si="11"/>
        <v>-11204</v>
      </c>
      <c r="H83" t="s">
        <v>461</v>
      </c>
    </row>
    <row r="84" spans="1:43" x14ac:dyDescent="0.25">
      <c r="A84" s="21" t="s">
        <v>4</v>
      </c>
      <c r="B84" s="123">
        <v>30904</v>
      </c>
      <c r="C84" s="123"/>
      <c r="D84" s="123"/>
      <c r="E84" s="123">
        <v>25763</v>
      </c>
      <c r="F84" s="524">
        <f t="shared" si="11"/>
        <v>0</v>
      </c>
    </row>
    <row r="85" spans="1:43" x14ac:dyDescent="0.25">
      <c r="A85" s="92"/>
      <c r="B85" s="420"/>
      <c r="C85" s="420"/>
      <c r="D85" s="420"/>
      <c r="E85" s="59"/>
      <c r="F85" s="524">
        <f t="shared" si="11"/>
        <v>-5141</v>
      </c>
    </row>
    <row r="86" spans="1:43" x14ac:dyDescent="0.25">
      <c r="A86" s="32" t="s">
        <v>454</v>
      </c>
      <c r="B86" s="267" t="s">
        <v>33</v>
      </c>
      <c r="C86" s="267"/>
      <c r="D86" s="267"/>
      <c r="E86" s="267" t="s">
        <v>237</v>
      </c>
      <c r="F86" s="73"/>
    </row>
    <row r="87" spans="1:43" x14ac:dyDescent="0.25">
      <c r="A87" s="92" t="s">
        <v>462</v>
      </c>
      <c r="B87" s="525">
        <v>220747</v>
      </c>
      <c r="C87" s="526"/>
      <c r="D87" s="526"/>
      <c r="E87" s="527">
        <v>237430</v>
      </c>
      <c r="F87" s="266" t="s">
        <v>44</v>
      </c>
    </row>
    <row r="88" spans="1:43" x14ac:dyDescent="0.25">
      <c r="A88" s="21" t="s">
        <v>65</v>
      </c>
      <c r="B88" s="123">
        <v>64329</v>
      </c>
      <c r="C88" s="420"/>
      <c r="D88" s="420"/>
      <c r="E88" s="59">
        <v>104706</v>
      </c>
      <c r="F88" s="524">
        <f t="shared" ref="F88:F94" si="12">+E87-B87</f>
        <v>16683</v>
      </c>
    </row>
    <row r="89" spans="1:43" x14ac:dyDescent="0.25">
      <c r="A89" s="21" t="s">
        <v>455</v>
      </c>
      <c r="B89" s="123">
        <v>53000</v>
      </c>
      <c r="C89" s="420"/>
      <c r="D89" s="420"/>
      <c r="E89" s="59">
        <v>70455</v>
      </c>
      <c r="F89" s="528">
        <f t="shared" si="12"/>
        <v>40377</v>
      </c>
      <c r="H89" t="s">
        <v>458</v>
      </c>
      <c r="O89" s="420"/>
      <c r="P89" s="420"/>
      <c r="Q89" s="490"/>
      <c r="R89" s="490"/>
      <c r="S89" s="420"/>
      <c r="T89" s="420"/>
    </row>
    <row r="90" spans="1:43" x14ac:dyDescent="0.25">
      <c r="A90" s="21" t="s">
        <v>236</v>
      </c>
      <c r="B90" s="123"/>
      <c r="C90" s="420"/>
      <c r="D90" s="420"/>
      <c r="E90" s="60">
        <v>15000</v>
      </c>
      <c r="F90" s="524">
        <f t="shared" si="12"/>
        <v>17455</v>
      </c>
      <c r="H90" t="s">
        <v>460</v>
      </c>
      <c r="O90" s="420"/>
      <c r="P90" s="420"/>
      <c r="Q90" s="490"/>
      <c r="R90" s="490"/>
      <c r="S90" s="420"/>
      <c r="T90" s="420"/>
    </row>
    <row r="91" spans="1:43" s="490" customFormat="1" x14ac:dyDescent="0.25">
      <c r="A91" s="21" t="s">
        <v>457</v>
      </c>
      <c r="B91" s="123">
        <v>39047</v>
      </c>
      <c r="C91" s="420"/>
      <c r="D91" s="420"/>
      <c r="E91" s="59">
        <v>39047</v>
      </c>
      <c r="F91" s="530">
        <f t="shared" si="12"/>
        <v>15000</v>
      </c>
      <c r="H91" s="490" t="s">
        <v>459</v>
      </c>
      <c r="N91" s="420"/>
      <c r="O91" s="1"/>
      <c r="P91" s="1"/>
      <c r="Q91"/>
      <c r="R91"/>
      <c r="S91" s="1"/>
      <c r="T91" s="1"/>
      <c r="U91" s="420"/>
      <c r="V91" s="420"/>
      <c r="W91" s="420"/>
      <c r="X91" s="420"/>
      <c r="Y91" s="420"/>
      <c r="Z91" s="420"/>
      <c r="AA91" s="420"/>
      <c r="AB91" s="420"/>
      <c r="AC91" s="420"/>
      <c r="AD91" s="420"/>
      <c r="AE91" s="420"/>
      <c r="AF91" s="420"/>
      <c r="AG91" s="420"/>
      <c r="AH91" s="420"/>
      <c r="AI91" s="420"/>
      <c r="AJ91" s="420"/>
      <c r="AK91" s="420"/>
      <c r="AL91" s="420"/>
      <c r="AM91" s="420"/>
      <c r="AN91" s="420"/>
      <c r="AO91" s="420"/>
      <c r="AP91" s="420"/>
      <c r="AQ91" s="420"/>
    </row>
    <row r="92" spans="1:43" s="490" customFormat="1" x14ac:dyDescent="0.25">
      <c r="A92" s="21" t="s">
        <v>5</v>
      </c>
      <c r="B92" s="123">
        <v>39371</v>
      </c>
      <c r="C92" s="420"/>
      <c r="D92" s="420"/>
      <c r="E92" s="59">
        <v>8222</v>
      </c>
      <c r="F92" s="524">
        <f t="shared" si="12"/>
        <v>0</v>
      </c>
      <c r="N92" s="420"/>
      <c r="O92" s="1"/>
      <c r="P92" s="1"/>
      <c r="Q92"/>
      <c r="R92"/>
      <c r="S92" s="1"/>
      <c r="T92" s="1"/>
      <c r="U92" s="420"/>
      <c r="V92" s="420"/>
      <c r="W92" s="420"/>
      <c r="X92" s="420"/>
      <c r="Y92" s="420"/>
      <c r="Z92" s="420"/>
      <c r="AA92" s="420"/>
      <c r="AB92" s="420"/>
      <c r="AC92" s="420"/>
      <c r="AD92" s="420"/>
      <c r="AE92" s="420"/>
      <c r="AF92" s="420"/>
      <c r="AG92" s="420"/>
      <c r="AH92" s="420"/>
      <c r="AI92" s="420"/>
      <c r="AJ92" s="420"/>
      <c r="AK92" s="420"/>
      <c r="AL92" s="420"/>
      <c r="AM92" s="420"/>
      <c r="AN92" s="420"/>
      <c r="AO92" s="420"/>
      <c r="AP92" s="420"/>
      <c r="AQ92" s="420"/>
    </row>
    <row r="93" spans="1:43" x14ac:dyDescent="0.25">
      <c r="A93" s="21" t="s">
        <v>456</v>
      </c>
      <c r="B93" s="123">
        <f>220747-195747</f>
        <v>25000</v>
      </c>
      <c r="C93" s="420"/>
      <c r="D93" s="420"/>
      <c r="E93" s="59">
        <v>0</v>
      </c>
      <c r="F93" s="524">
        <f t="shared" si="12"/>
        <v>-31149</v>
      </c>
    </row>
    <row r="94" spans="1:43" ht="15.75" thickBot="1" x14ac:dyDescent="0.3">
      <c r="A94" s="149"/>
      <c r="B94" s="236"/>
      <c r="C94" s="236"/>
      <c r="D94" s="236"/>
      <c r="E94" s="241"/>
      <c r="F94" s="528">
        <f t="shared" si="12"/>
        <v>-25000</v>
      </c>
      <c r="H94" t="s">
        <v>458</v>
      </c>
    </row>
    <row r="95" spans="1:43" ht="15.75" thickBot="1" x14ac:dyDescent="0.3">
      <c r="F95" s="529"/>
    </row>
  </sheetData>
  <pageMargins left="0.25" right="0.25" top="0.25" bottom="0.25" header="0.3" footer="0.3"/>
  <pageSetup paperSize="5" scale="50" orientation="landscape" horizontalDpi="4294967295" verticalDpi="4294967295" r:id="rId1"/>
  <ignoredErrors>
    <ignoredError sqref="E37 R40 R42 R31 R50:R51 M51 R4:R5 R6:R7 R13 R17:R20 D3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00"/>
  </sheetPr>
  <dimension ref="A1:L66"/>
  <sheetViews>
    <sheetView workbookViewId="0">
      <pane xSplit="7" ySplit="1" topLeftCell="H38" activePane="bottomRight" state="frozenSplit"/>
      <selection pane="topRight" activeCell="H1" sqref="H1"/>
      <selection pane="bottomLeft" activeCell="A2" sqref="A2"/>
      <selection pane="bottomRight" activeCell="H72" sqref="H72"/>
    </sheetView>
  </sheetViews>
  <sheetFormatPr defaultRowHeight="11.25" x14ac:dyDescent="0.2"/>
  <cols>
    <col min="1" max="6" width="2" style="325" customWidth="1"/>
    <col min="7" max="7" width="48.28515625" style="325" customWidth="1"/>
    <col min="8" max="8" width="12.28515625" style="342" bestFit="1" customWidth="1"/>
    <col min="9" max="9" width="1.85546875" style="342" customWidth="1"/>
    <col min="10" max="10" width="12.5703125" style="341" customWidth="1"/>
    <col min="11" max="11" width="1.85546875" style="342" customWidth="1"/>
    <col min="12" max="12" width="11.5703125" style="342" customWidth="1"/>
    <col min="13" max="16384" width="9.140625" style="343"/>
  </cols>
  <sheetData>
    <row r="1" spans="1:12" s="340" customFormat="1" ht="23.25" thickBot="1" x14ac:dyDescent="0.25">
      <c r="A1" s="315"/>
      <c r="B1" s="315"/>
      <c r="C1" s="315"/>
      <c r="D1" s="315"/>
      <c r="E1" s="315"/>
      <c r="F1" s="315"/>
      <c r="G1" s="315"/>
      <c r="H1" s="336" t="s">
        <v>42</v>
      </c>
      <c r="I1" s="337"/>
      <c r="J1" s="338" t="s">
        <v>220</v>
      </c>
      <c r="K1" s="337"/>
      <c r="L1" s="339" t="s">
        <v>60</v>
      </c>
    </row>
    <row r="2" spans="1:12" x14ac:dyDescent="0.2">
      <c r="A2" s="310"/>
      <c r="B2" s="417" t="s">
        <v>146</v>
      </c>
      <c r="C2" s="417"/>
      <c r="D2" s="417"/>
      <c r="E2" s="417"/>
      <c r="F2" s="417"/>
      <c r="G2" s="417"/>
      <c r="H2" s="421"/>
      <c r="I2" s="421"/>
      <c r="J2" s="422"/>
      <c r="K2" s="423"/>
      <c r="L2" s="423"/>
    </row>
    <row r="3" spans="1:12" ht="12.75" customHeight="1" x14ac:dyDescent="0.2">
      <c r="A3" s="310"/>
      <c r="B3" s="417"/>
      <c r="C3" s="417"/>
      <c r="D3" s="417" t="s">
        <v>147</v>
      </c>
      <c r="E3" s="417"/>
      <c r="F3" s="417"/>
      <c r="G3" s="417"/>
      <c r="H3" s="421"/>
      <c r="I3" s="421"/>
      <c r="J3" s="422"/>
      <c r="K3" s="423"/>
      <c r="L3" s="423"/>
    </row>
    <row r="4" spans="1:12" ht="12.75" customHeight="1" x14ac:dyDescent="0.2">
      <c r="A4" s="310"/>
      <c r="B4" s="417"/>
      <c r="C4" s="417"/>
      <c r="D4" s="417"/>
      <c r="E4" s="417" t="s">
        <v>153</v>
      </c>
      <c r="F4" s="417"/>
      <c r="G4" s="417"/>
      <c r="H4" s="421"/>
      <c r="I4" s="421"/>
      <c r="J4" s="422"/>
      <c r="K4" s="423"/>
      <c r="L4" s="423"/>
    </row>
    <row r="5" spans="1:12" ht="12.75" customHeight="1" x14ac:dyDescent="0.2">
      <c r="A5" s="310"/>
      <c r="B5" s="417"/>
      <c r="C5" s="417"/>
      <c r="D5" s="417"/>
      <c r="E5" s="417"/>
      <c r="F5" s="417" t="s">
        <v>199</v>
      </c>
      <c r="G5" s="417"/>
      <c r="H5" s="421"/>
      <c r="I5" s="421"/>
      <c r="J5" s="422"/>
      <c r="K5" s="423"/>
      <c r="L5" s="423"/>
    </row>
    <row r="6" spans="1:12" x14ac:dyDescent="0.2">
      <c r="A6" s="310"/>
      <c r="B6" s="417"/>
      <c r="C6" s="417"/>
      <c r="D6" s="417"/>
      <c r="E6" s="417"/>
      <c r="F6" s="417"/>
      <c r="G6" s="417" t="s">
        <v>200</v>
      </c>
      <c r="H6" s="418">
        <v>8692.25</v>
      </c>
      <c r="I6" s="425"/>
      <c r="J6" s="437"/>
      <c r="K6" s="433"/>
      <c r="L6" s="433">
        <v>8692.25</v>
      </c>
    </row>
    <row r="7" spans="1:12" ht="12" thickBot="1" x14ac:dyDescent="0.25">
      <c r="A7" s="310"/>
      <c r="B7" s="417"/>
      <c r="C7" s="417"/>
      <c r="D7" s="417"/>
      <c r="E7" s="417"/>
      <c r="F7" s="417"/>
      <c r="G7" s="417" t="s">
        <v>221</v>
      </c>
      <c r="H7" s="424"/>
      <c r="I7" s="425"/>
      <c r="J7" s="426"/>
      <c r="K7" s="423"/>
      <c r="L7" s="427">
        <v>0</v>
      </c>
    </row>
    <row r="8" spans="1:12" x14ac:dyDescent="0.2">
      <c r="A8" s="310"/>
      <c r="B8" s="417"/>
      <c r="C8" s="417"/>
      <c r="D8" s="417"/>
      <c r="E8" s="417"/>
      <c r="F8" s="417" t="s">
        <v>201</v>
      </c>
      <c r="G8" s="417"/>
      <c r="H8" s="421">
        <v>0</v>
      </c>
      <c r="I8" s="421"/>
      <c r="J8" s="422">
        <v>0</v>
      </c>
      <c r="K8" s="423"/>
      <c r="L8" s="423">
        <v>8692.25</v>
      </c>
    </row>
    <row r="9" spans="1:12" x14ac:dyDescent="0.2">
      <c r="A9" s="310"/>
      <c r="B9" s="417"/>
      <c r="C9" s="417"/>
      <c r="D9" s="417"/>
      <c r="E9" s="417"/>
      <c r="F9" s="417" t="s">
        <v>202</v>
      </c>
      <c r="G9" s="417"/>
      <c r="H9" s="421"/>
      <c r="I9" s="421"/>
      <c r="J9" s="422">
        <v>1200</v>
      </c>
      <c r="K9" s="423"/>
      <c r="L9" s="423">
        <v>1200</v>
      </c>
    </row>
    <row r="10" spans="1:12" x14ac:dyDescent="0.2">
      <c r="A10" s="310"/>
      <c r="B10" s="417"/>
      <c r="C10" s="417"/>
      <c r="D10" s="417"/>
      <c r="E10" s="417"/>
      <c r="F10" s="417" t="s">
        <v>222</v>
      </c>
      <c r="G10" s="417"/>
      <c r="H10" s="421">
        <v>0</v>
      </c>
      <c r="I10" s="421"/>
      <c r="J10" s="422"/>
      <c r="K10" s="423"/>
      <c r="L10" s="423">
        <v>0</v>
      </c>
    </row>
    <row r="11" spans="1:12" ht="12.75" customHeight="1" x14ac:dyDescent="0.2">
      <c r="A11" s="310"/>
      <c r="B11" s="417"/>
      <c r="C11" s="417"/>
      <c r="D11" s="417"/>
      <c r="E11" s="417"/>
      <c r="F11" s="417" t="s">
        <v>203</v>
      </c>
      <c r="G11" s="417"/>
      <c r="H11" s="421">
        <v>34689.22</v>
      </c>
      <c r="I11" s="421"/>
      <c r="J11" s="422"/>
      <c r="K11" s="423"/>
      <c r="L11" s="423">
        <v>34689.22</v>
      </c>
    </row>
    <row r="12" spans="1:12" ht="12.75" customHeight="1" x14ac:dyDescent="0.2">
      <c r="A12" s="310"/>
      <c r="B12" s="417"/>
      <c r="C12" s="417"/>
      <c r="D12" s="417"/>
      <c r="E12" s="417"/>
      <c r="F12" s="417" t="s">
        <v>204</v>
      </c>
      <c r="G12" s="417"/>
      <c r="H12" s="421">
        <v>0</v>
      </c>
      <c r="I12" s="421"/>
      <c r="J12" s="422">
        <v>2513.35</v>
      </c>
      <c r="K12" s="423"/>
      <c r="L12" s="423">
        <v>2513.35</v>
      </c>
    </row>
    <row r="13" spans="1:12" ht="12.75" customHeight="1" x14ac:dyDescent="0.2">
      <c r="A13" s="310"/>
      <c r="B13" s="417"/>
      <c r="C13" s="417"/>
      <c r="D13" s="417"/>
      <c r="E13" s="417"/>
      <c r="F13" s="417" t="s">
        <v>156</v>
      </c>
      <c r="G13" s="417"/>
      <c r="H13" s="421">
        <v>576.91</v>
      </c>
      <c r="I13" s="421"/>
      <c r="J13" s="422"/>
      <c r="K13" s="423"/>
      <c r="L13" s="423">
        <v>576.91</v>
      </c>
    </row>
    <row r="14" spans="1:12" ht="12.75" customHeight="1" x14ac:dyDescent="0.2">
      <c r="A14" s="310"/>
      <c r="B14" s="417"/>
      <c r="C14" s="417"/>
      <c r="D14" s="417"/>
      <c r="E14" s="417"/>
      <c r="F14" s="417" t="s">
        <v>205</v>
      </c>
      <c r="G14" s="417"/>
      <c r="H14" s="421"/>
      <c r="I14" s="421"/>
      <c r="J14" s="422"/>
      <c r="K14" s="423"/>
      <c r="L14" s="423">
        <v>0</v>
      </c>
    </row>
    <row r="15" spans="1:12" ht="12.75" customHeight="1" x14ac:dyDescent="0.2">
      <c r="A15" s="310"/>
      <c r="B15" s="417"/>
      <c r="C15" s="417"/>
      <c r="D15" s="417"/>
      <c r="E15" s="417"/>
      <c r="F15" s="417" t="s">
        <v>157</v>
      </c>
      <c r="G15" s="417"/>
      <c r="H15" s="421"/>
      <c r="I15" s="421"/>
      <c r="J15" s="422"/>
      <c r="K15" s="423"/>
      <c r="L15" s="423">
        <v>0</v>
      </c>
    </row>
    <row r="16" spans="1:12" ht="12.75" customHeight="1" x14ac:dyDescent="0.2">
      <c r="A16" s="310"/>
      <c r="B16" s="417"/>
      <c r="C16" s="417"/>
      <c r="D16" s="417"/>
      <c r="E16" s="417"/>
      <c r="F16" s="417" t="s">
        <v>206</v>
      </c>
      <c r="G16" s="417"/>
      <c r="H16" s="421"/>
      <c r="I16" s="421"/>
      <c r="J16" s="422">
        <v>3000</v>
      </c>
      <c r="K16" s="423"/>
      <c r="L16" s="423">
        <v>3000</v>
      </c>
    </row>
    <row r="17" spans="1:12" ht="12.75" customHeight="1" x14ac:dyDescent="0.2">
      <c r="A17" s="310"/>
      <c r="B17" s="417"/>
      <c r="C17" s="417"/>
      <c r="D17" s="417"/>
      <c r="E17" s="417"/>
      <c r="F17" s="417" t="s">
        <v>223</v>
      </c>
      <c r="G17" s="417"/>
      <c r="H17" s="425"/>
      <c r="I17" s="425"/>
      <c r="J17" s="437"/>
      <c r="K17" s="433"/>
      <c r="L17" s="433">
        <v>0</v>
      </c>
    </row>
    <row r="18" spans="1:12" ht="12.75" customHeight="1" thickBot="1" x14ac:dyDescent="0.25">
      <c r="A18" s="310"/>
      <c r="B18" s="417"/>
      <c r="C18" s="417"/>
      <c r="D18" s="417"/>
      <c r="E18" s="417"/>
      <c r="F18" s="417" t="s">
        <v>158</v>
      </c>
      <c r="G18" s="417"/>
      <c r="H18" s="424"/>
      <c r="I18" s="425"/>
      <c r="J18" s="426"/>
      <c r="K18" s="423"/>
      <c r="L18" s="427">
        <v>0</v>
      </c>
    </row>
    <row r="19" spans="1:12" x14ac:dyDescent="0.2">
      <c r="A19" s="310"/>
      <c r="B19" s="417"/>
      <c r="C19" s="417"/>
      <c r="D19" s="417"/>
      <c r="E19" s="417" t="s">
        <v>159</v>
      </c>
      <c r="F19" s="417"/>
      <c r="G19" s="417"/>
      <c r="H19" s="421">
        <v>43958.38</v>
      </c>
      <c r="I19" s="421"/>
      <c r="J19" s="421">
        <v>6713.35</v>
      </c>
      <c r="K19" s="423"/>
      <c r="L19" s="423">
        <v>50671.73</v>
      </c>
    </row>
    <row r="20" spans="1:12" ht="21.75" customHeight="1" x14ac:dyDescent="0.2">
      <c r="A20" s="310"/>
      <c r="B20" s="417"/>
      <c r="C20" s="417"/>
      <c r="D20" s="417"/>
      <c r="E20" s="417" t="s">
        <v>207</v>
      </c>
      <c r="F20" s="417"/>
      <c r="G20" s="417"/>
      <c r="H20" s="421"/>
      <c r="I20" s="421"/>
      <c r="J20" s="422"/>
      <c r="K20" s="423"/>
      <c r="L20" s="423"/>
    </row>
    <row r="21" spans="1:12" ht="12.75" customHeight="1" x14ac:dyDescent="0.2">
      <c r="A21" s="310"/>
      <c r="B21" s="417"/>
      <c r="C21" s="417"/>
      <c r="D21" s="417"/>
      <c r="E21" s="417"/>
      <c r="F21" s="417" t="s">
        <v>208</v>
      </c>
      <c r="G21" s="417"/>
      <c r="H21" s="421">
        <v>630.13</v>
      </c>
      <c r="I21" s="421"/>
      <c r="J21" s="422"/>
      <c r="K21" s="423"/>
      <c r="L21" s="423">
        <v>630.13</v>
      </c>
    </row>
    <row r="22" spans="1:12" ht="12.75" customHeight="1" x14ac:dyDescent="0.2">
      <c r="A22" s="310"/>
      <c r="B22" s="417"/>
      <c r="C22" s="417"/>
      <c r="D22" s="417"/>
      <c r="E22" s="417"/>
      <c r="F22" s="417" t="s">
        <v>162</v>
      </c>
      <c r="G22" s="417"/>
      <c r="H22" s="421">
        <v>3240.72</v>
      </c>
      <c r="I22" s="421"/>
      <c r="J22" s="422"/>
      <c r="K22" s="423"/>
      <c r="L22" s="423">
        <v>3240.72</v>
      </c>
    </row>
    <row r="23" spans="1:12" ht="12.75" customHeight="1" x14ac:dyDescent="0.2">
      <c r="A23" s="310"/>
      <c r="B23" s="417"/>
      <c r="C23" s="417"/>
      <c r="D23" s="417"/>
      <c r="E23" s="417"/>
      <c r="F23" s="417" t="s">
        <v>163</v>
      </c>
      <c r="G23" s="417"/>
      <c r="H23" s="421">
        <v>132.5</v>
      </c>
      <c r="I23" s="421"/>
      <c r="J23" s="422"/>
      <c r="K23" s="423"/>
      <c r="L23" s="423">
        <v>132.5</v>
      </c>
    </row>
    <row r="24" spans="1:12" ht="12.75" customHeight="1" x14ac:dyDescent="0.2">
      <c r="A24" s="310"/>
      <c r="B24" s="417"/>
      <c r="C24" s="417"/>
      <c r="D24" s="417"/>
      <c r="E24" s="417"/>
      <c r="F24" s="417" t="s">
        <v>165</v>
      </c>
      <c r="G24" s="417"/>
      <c r="H24" s="421">
        <v>0</v>
      </c>
      <c r="I24" s="421"/>
      <c r="J24" s="422"/>
      <c r="K24" s="423"/>
      <c r="L24" s="423">
        <v>0</v>
      </c>
    </row>
    <row r="25" spans="1:12" ht="12.75" customHeight="1" thickBot="1" x14ac:dyDescent="0.25">
      <c r="A25" s="310"/>
      <c r="B25" s="417"/>
      <c r="C25" s="417"/>
      <c r="D25" s="417"/>
      <c r="E25" s="417"/>
      <c r="F25" s="417" t="s">
        <v>209</v>
      </c>
      <c r="G25" s="417"/>
      <c r="H25" s="424">
        <v>5000</v>
      </c>
      <c r="I25" s="425"/>
      <c r="J25" s="426"/>
      <c r="K25" s="423"/>
      <c r="L25" s="427">
        <v>5000</v>
      </c>
    </row>
    <row r="26" spans="1:12" ht="12.75" customHeight="1" x14ac:dyDescent="0.2">
      <c r="A26" s="310"/>
      <c r="B26" s="417"/>
      <c r="C26" s="417"/>
      <c r="D26" s="417"/>
      <c r="E26" s="417" t="s">
        <v>210</v>
      </c>
      <c r="F26" s="417"/>
      <c r="G26" s="417"/>
      <c r="H26" s="421">
        <v>9003.35</v>
      </c>
      <c r="I26" s="421"/>
      <c r="J26" s="421">
        <v>0</v>
      </c>
      <c r="K26" s="423"/>
      <c r="L26" s="423">
        <v>9003.35</v>
      </c>
    </row>
    <row r="27" spans="1:12" ht="30" customHeight="1" x14ac:dyDescent="0.2">
      <c r="A27" s="310"/>
      <c r="B27" s="417"/>
      <c r="C27" s="417"/>
      <c r="D27" s="417"/>
      <c r="E27" s="417" t="s">
        <v>211</v>
      </c>
      <c r="F27" s="417"/>
      <c r="G27" s="417"/>
      <c r="H27" s="421">
        <v>875</v>
      </c>
      <c r="I27" s="421"/>
      <c r="J27" s="422"/>
      <c r="K27" s="423"/>
      <c r="L27" s="433">
        <v>875</v>
      </c>
    </row>
    <row r="28" spans="1:12" ht="12.75" customHeight="1" x14ac:dyDescent="0.2">
      <c r="A28" s="310"/>
      <c r="B28" s="417"/>
      <c r="C28" s="417"/>
      <c r="D28" s="417"/>
      <c r="E28" s="417" t="s">
        <v>173</v>
      </c>
      <c r="F28" s="417"/>
      <c r="G28" s="417"/>
      <c r="H28" s="421">
        <v>1516.27</v>
      </c>
      <c r="I28" s="421"/>
      <c r="J28" s="422"/>
      <c r="K28" s="423"/>
      <c r="L28" s="433">
        <v>1516.27</v>
      </c>
    </row>
    <row r="29" spans="1:12" ht="12.75" customHeight="1" x14ac:dyDescent="0.2">
      <c r="A29" s="310"/>
      <c r="B29" s="417"/>
      <c r="C29" s="417"/>
      <c r="D29" s="417"/>
      <c r="E29" s="417" t="s">
        <v>212</v>
      </c>
      <c r="F29" s="417"/>
      <c r="G29" s="417"/>
      <c r="H29" s="421">
        <v>0</v>
      </c>
      <c r="I29" s="421"/>
      <c r="J29" s="422"/>
      <c r="K29" s="423"/>
      <c r="L29" s="423">
        <v>0</v>
      </c>
    </row>
    <row r="30" spans="1:12" ht="12.75" hidden="1" customHeight="1" x14ac:dyDescent="0.2">
      <c r="A30" s="310"/>
      <c r="B30" s="417"/>
      <c r="C30" s="417"/>
      <c r="D30" s="417"/>
      <c r="E30" s="417"/>
      <c r="F30" s="417" t="s">
        <v>224</v>
      </c>
      <c r="G30" s="417"/>
      <c r="H30" s="421">
        <v>0</v>
      </c>
      <c r="I30" s="421"/>
      <c r="J30" s="422"/>
      <c r="K30" s="423"/>
      <c r="L30" s="423">
        <v>0</v>
      </c>
    </row>
    <row r="31" spans="1:12" ht="12.75" customHeight="1" thickBot="1" x14ac:dyDescent="0.25">
      <c r="A31" s="310"/>
      <c r="B31" s="417"/>
      <c r="C31" s="417"/>
      <c r="D31" s="417"/>
      <c r="E31" s="417"/>
      <c r="F31" s="417" t="s">
        <v>225</v>
      </c>
      <c r="G31" s="417"/>
      <c r="H31" s="421">
        <v>0</v>
      </c>
      <c r="I31" s="421"/>
      <c r="J31" s="422"/>
      <c r="K31" s="423"/>
      <c r="L31" s="433">
        <v>0</v>
      </c>
    </row>
    <row r="32" spans="1:12" ht="12.75" hidden="1" customHeight="1" thickBot="1" x14ac:dyDescent="0.25">
      <c r="A32" s="310"/>
      <c r="B32" s="417"/>
      <c r="C32" s="417"/>
      <c r="D32" s="417"/>
      <c r="E32" s="417"/>
      <c r="F32" s="417" t="s">
        <v>226</v>
      </c>
      <c r="G32" s="417"/>
      <c r="H32" s="425">
        <v>172.06</v>
      </c>
      <c r="I32" s="425"/>
      <c r="J32" s="422">
        <v>0</v>
      </c>
      <c r="K32" s="423"/>
      <c r="L32" s="427">
        <v>172.06</v>
      </c>
    </row>
    <row r="33" spans="1:12" ht="12.75" customHeight="1" thickBot="1" x14ac:dyDescent="0.25">
      <c r="A33" s="310"/>
      <c r="B33" s="417"/>
      <c r="C33" s="417"/>
      <c r="D33" s="417"/>
      <c r="E33" s="417" t="s">
        <v>227</v>
      </c>
      <c r="F33" s="417"/>
      <c r="G33" s="417"/>
      <c r="H33" s="428">
        <v>172.06</v>
      </c>
      <c r="I33" s="425"/>
      <c r="J33" s="428">
        <v>0</v>
      </c>
      <c r="K33" s="423"/>
      <c r="L33" s="428">
        <v>172.06</v>
      </c>
    </row>
    <row r="34" spans="1:12" ht="18.75" customHeight="1" x14ac:dyDescent="0.2">
      <c r="A34" s="310"/>
      <c r="B34" s="417"/>
      <c r="C34" s="417"/>
      <c r="D34" s="417" t="s">
        <v>32</v>
      </c>
      <c r="E34" s="417"/>
      <c r="F34" s="417"/>
      <c r="G34" s="417"/>
      <c r="H34" s="421">
        <v>55525.06</v>
      </c>
      <c r="I34" s="421"/>
      <c r="J34" s="421">
        <v>6713.35</v>
      </c>
      <c r="K34" s="423"/>
      <c r="L34" s="421">
        <v>62238.41</v>
      </c>
    </row>
    <row r="35" spans="1:12" ht="19.5" customHeight="1" x14ac:dyDescent="0.2">
      <c r="A35" s="310"/>
      <c r="B35" s="417"/>
      <c r="C35" s="417"/>
      <c r="D35" s="417" t="s">
        <v>175</v>
      </c>
      <c r="E35" s="417"/>
      <c r="F35" s="417"/>
      <c r="G35" s="417"/>
      <c r="H35" s="421"/>
      <c r="I35" s="421"/>
      <c r="J35" s="422"/>
      <c r="K35" s="423"/>
      <c r="L35" s="423"/>
    </row>
    <row r="36" spans="1:12" ht="12" thickBot="1" x14ac:dyDescent="0.25">
      <c r="A36" s="310"/>
      <c r="B36" s="417"/>
      <c r="C36" s="417"/>
      <c r="D36" s="417"/>
      <c r="E36" s="417" t="s">
        <v>176</v>
      </c>
      <c r="F36" s="417"/>
      <c r="G36" s="417"/>
      <c r="H36" s="425">
        <v>1861.26</v>
      </c>
      <c r="I36" s="425"/>
      <c r="J36" s="422">
        <v>0</v>
      </c>
      <c r="K36" s="423"/>
      <c r="L36" s="427">
        <v>1861.26</v>
      </c>
    </row>
    <row r="37" spans="1:12" ht="18.75" customHeight="1" thickBot="1" x14ac:dyDescent="0.25">
      <c r="A37" s="310"/>
      <c r="B37" s="417"/>
      <c r="C37" s="417"/>
      <c r="D37" s="417" t="s">
        <v>177</v>
      </c>
      <c r="E37" s="417"/>
      <c r="F37" s="417"/>
      <c r="G37" s="417"/>
      <c r="H37" s="428">
        <v>1861.26</v>
      </c>
      <c r="I37" s="425"/>
      <c r="J37" s="428">
        <v>0</v>
      </c>
      <c r="K37" s="423"/>
      <c r="L37" s="427">
        <v>1861.26</v>
      </c>
    </row>
    <row r="38" spans="1:12" ht="18.75" customHeight="1" x14ac:dyDescent="0.2">
      <c r="A38" s="310"/>
      <c r="B38" s="417"/>
      <c r="C38" s="417" t="s">
        <v>228</v>
      </c>
      <c r="D38" s="417"/>
      <c r="E38" s="417"/>
      <c r="F38" s="417"/>
      <c r="G38" s="417"/>
      <c r="H38" s="425"/>
      <c r="I38" s="425"/>
      <c r="J38" s="422"/>
      <c r="K38" s="423"/>
      <c r="L38" s="423"/>
    </row>
    <row r="39" spans="1:12" ht="18.75" customHeight="1" thickBot="1" x14ac:dyDescent="0.25">
      <c r="A39" s="310"/>
      <c r="B39" s="417"/>
      <c r="C39" s="417"/>
      <c r="D39" s="417" t="s">
        <v>229</v>
      </c>
      <c r="E39" s="417"/>
      <c r="F39" s="417"/>
      <c r="G39" s="417"/>
      <c r="H39" s="424">
        <v>66306.929999999993</v>
      </c>
      <c r="I39" s="425"/>
      <c r="J39" s="426">
        <v>-66306.929999999993</v>
      </c>
      <c r="K39" s="423"/>
      <c r="L39" s="427">
        <v>0</v>
      </c>
    </row>
    <row r="40" spans="1:12" ht="18.75" customHeight="1" x14ac:dyDescent="0.2">
      <c r="A40" s="310"/>
      <c r="B40" s="417"/>
      <c r="C40" s="417" t="s">
        <v>230</v>
      </c>
      <c r="D40" s="417"/>
      <c r="E40" s="417"/>
      <c r="F40" s="417"/>
      <c r="G40" s="417"/>
      <c r="H40" s="429">
        <v>119970.73</v>
      </c>
      <c r="I40" s="429"/>
      <c r="J40" s="429">
        <v>-59593.579999999994</v>
      </c>
      <c r="K40" s="430"/>
      <c r="L40" s="429">
        <v>60377.15</v>
      </c>
    </row>
    <row r="41" spans="1:12" x14ac:dyDescent="0.2">
      <c r="A41" s="310"/>
      <c r="B41" s="417"/>
      <c r="C41" s="417"/>
      <c r="D41" s="417"/>
      <c r="E41" s="417"/>
      <c r="F41" s="417"/>
      <c r="G41" s="417"/>
      <c r="H41" s="425"/>
      <c r="I41" s="425"/>
      <c r="J41" s="422"/>
      <c r="K41" s="423"/>
      <c r="L41" s="423"/>
    </row>
    <row r="42" spans="1:12" ht="18" customHeight="1" x14ac:dyDescent="0.2">
      <c r="A42" s="310"/>
      <c r="B42" s="417"/>
      <c r="C42" s="417"/>
      <c r="D42" s="417" t="s">
        <v>68</v>
      </c>
      <c r="E42" s="417"/>
      <c r="F42" s="417"/>
      <c r="G42" s="417"/>
      <c r="H42" s="421"/>
      <c r="I42" s="421"/>
      <c r="J42" s="422"/>
      <c r="K42" s="423"/>
      <c r="L42" s="423"/>
    </row>
    <row r="43" spans="1:12" ht="13.5" customHeight="1" x14ac:dyDescent="0.2">
      <c r="A43" s="310"/>
      <c r="B43" s="417"/>
      <c r="C43" s="417"/>
      <c r="D43" s="417"/>
      <c r="E43" s="417" t="s">
        <v>179</v>
      </c>
      <c r="F43" s="417"/>
      <c r="G43" s="417"/>
      <c r="H43" s="421">
        <v>95012.52</v>
      </c>
      <c r="I43" s="421"/>
      <c r="J43" s="422"/>
      <c r="K43" s="423"/>
      <c r="L43" s="423">
        <v>95012.52</v>
      </c>
    </row>
    <row r="44" spans="1:12" ht="13.5" hidden="1" customHeight="1" x14ac:dyDescent="0.2">
      <c r="A44" s="310"/>
      <c r="B44" s="417"/>
      <c r="C44" s="417"/>
      <c r="D44" s="417"/>
      <c r="E44" s="417" t="s">
        <v>231</v>
      </c>
      <c r="F44" s="417"/>
      <c r="G44" s="417"/>
      <c r="H44" s="431">
        <v>0</v>
      </c>
      <c r="I44" s="421"/>
      <c r="J44" s="422"/>
      <c r="K44" s="423"/>
      <c r="L44" s="423">
        <v>0</v>
      </c>
    </row>
    <row r="45" spans="1:12" ht="13.5" customHeight="1" x14ac:dyDescent="0.2">
      <c r="A45" s="310"/>
      <c r="B45" s="417"/>
      <c r="C45" s="417"/>
      <c r="D45" s="417"/>
      <c r="E45" s="417" t="s">
        <v>213</v>
      </c>
      <c r="F45" s="417"/>
      <c r="G45" s="417"/>
      <c r="H45" s="431">
        <v>7105.75</v>
      </c>
      <c r="I45" s="421"/>
      <c r="J45" s="422"/>
      <c r="K45" s="423"/>
      <c r="L45" s="423">
        <v>7105.75</v>
      </c>
    </row>
    <row r="46" spans="1:12" ht="13.5" customHeight="1" x14ac:dyDescent="0.2">
      <c r="A46" s="310"/>
      <c r="B46" s="417"/>
      <c r="C46" s="417"/>
      <c r="D46" s="417"/>
      <c r="E46" s="417" t="s">
        <v>214</v>
      </c>
      <c r="F46" s="417"/>
      <c r="G46" s="417"/>
      <c r="H46" s="431">
        <v>0</v>
      </c>
      <c r="I46" s="421"/>
      <c r="J46" s="422"/>
      <c r="K46" s="423"/>
      <c r="L46" s="423">
        <v>0</v>
      </c>
    </row>
    <row r="47" spans="1:12" ht="13.5" customHeight="1" x14ac:dyDescent="0.2">
      <c r="A47" s="310"/>
      <c r="B47" s="417"/>
      <c r="C47" s="417"/>
      <c r="D47" s="417"/>
      <c r="E47" s="417" t="s">
        <v>215</v>
      </c>
      <c r="F47" s="417"/>
      <c r="G47" s="417"/>
      <c r="H47" s="431">
        <v>785.66</v>
      </c>
      <c r="I47" s="421"/>
      <c r="J47" s="422"/>
      <c r="K47" s="423"/>
      <c r="L47" s="423">
        <v>785.66</v>
      </c>
    </row>
    <row r="48" spans="1:12" ht="13.5" customHeight="1" x14ac:dyDescent="0.2">
      <c r="A48" s="310"/>
      <c r="B48" s="417"/>
      <c r="C48" s="417"/>
      <c r="D48" s="417"/>
      <c r="E48" s="417" t="s">
        <v>216</v>
      </c>
      <c r="F48" s="417"/>
      <c r="G48" s="417"/>
      <c r="H48" s="431">
        <v>186.34</v>
      </c>
      <c r="I48" s="421"/>
      <c r="J48" s="422"/>
      <c r="K48" s="423"/>
      <c r="L48" s="423">
        <v>186.34</v>
      </c>
    </row>
    <row r="49" spans="1:12" ht="13.5" customHeight="1" x14ac:dyDescent="0.2">
      <c r="A49" s="310"/>
      <c r="B49" s="417"/>
      <c r="C49" s="417"/>
      <c r="D49" s="417"/>
      <c r="E49" s="417" t="s">
        <v>183</v>
      </c>
      <c r="F49" s="417"/>
      <c r="G49" s="417"/>
      <c r="H49" s="431">
        <v>2725.22</v>
      </c>
      <c r="I49" s="421"/>
      <c r="J49" s="422"/>
      <c r="K49" s="423"/>
      <c r="L49" s="423">
        <v>2725.22</v>
      </c>
    </row>
    <row r="50" spans="1:12" ht="13.5" customHeight="1" x14ac:dyDescent="0.2">
      <c r="A50" s="310"/>
      <c r="B50" s="417"/>
      <c r="C50" s="417"/>
      <c r="D50" s="417"/>
      <c r="E50" s="417" t="s">
        <v>184</v>
      </c>
      <c r="F50" s="417"/>
      <c r="G50" s="417"/>
      <c r="H50" s="419">
        <v>1763.32</v>
      </c>
      <c r="I50" s="421"/>
      <c r="J50" s="422"/>
      <c r="K50" s="423"/>
      <c r="L50" s="423">
        <v>1763.32</v>
      </c>
    </row>
    <row r="51" spans="1:12" ht="13.5" customHeight="1" x14ac:dyDescent="0.2">
      <c r="A51" s="310"/>
      <c r="B51" s="417"/>
      <c r="C51" s="417"/>
      <c r="D51" s="417"/>
      <c r="E51" s="417" t="s">
        <v>185</v>
      </c>
      <c r="F51" s="417"/>
      <c r="G51" s="417"/>
      <c r="H51" s="419">
        <v>604.89</v>
      </c>
      <c r="I51" s="421"/>
      <c r="J51" s="422"/>
      <c r="K51" s="423"/>
      <c r="L51" s="423">
        <v>604.89</v>
      </c>
    </row>
    <row r="52" spans="1:12" ht="13.5" customHeight="1" x14ac:dyDescent="0.2">
      <c r="A52" s="310"/>
      <c r="B52" s="417"/>
      <c r="C52" s="417"/>
      <c r="D52" s="417"/>
      <c r="E52" s="417" t="s">
        <v>186</v>
      </c>
      <c r="F52" s="417"/>
      <c r="G52" s="417"/>
      <c r="H52" s="419">
        <v>6160.31</v>
      </c>
      <c r="I52" s="421"/>
      <c r="J52" s="422"/>
      <c r="K52" s="423"/>
      <c r="L52" s="423">
        <v>6160.31</v>
      </c>
    </row>
    <row r="53" spans="1:12" ht="13.5" customHeight="1" x14ac:dyDescent="0.2">
      <c r="A53" s="310"/>
      <c r="B53" s="417"/>
      <c r="C53" s="417"/>
      <c r="D53" s="417"/>
      <c r="E53" s="417" t="s">
        <v>187</v>
      </c>
      <c r="F53" s="417"/>
      <c r="G53" s="417"/>
      <c r="H53" s="419">
        <v>1211.5</v>
      </c>
      <c r="I53" s="421"/>
      <c r="J53" s="422"/>
      <c r="K53" s="423"/>
      <c r="L53" s="423">
        <v>1211.5</v>
      </c>
    </row>
    <row r="54" spans="1:12" ht="13.5" customHeight="1" x14ac:dyDescent="0.2">
      <c r="A54" s="310"/>
      <c r="B54" s="417"/>
      <c r="C54" s="417"/>
      <c r="D54" s="417"/>
      <c r="E54" s="417" t="s">
        <v>217</v>
      </c>
      <c r="F54" s="417"/>
      <c r="G54" s="417"/>
      <c r="H54" s="419">
        <v>412.36</v>
      </c>
      <c r="I54" s="421"/>
      <c r="J54" s="422"/>
      <c r="K54" s="423"/>
      <c r="L54" s="423">
        <v>412.36</v>
      </c>
    </row>
    <row r="55" spans="1:12" ht="13.5" customHeight="1" x14ac:dyDescent="0.2">
      <c r="A55" s="310"/>
      <c r="B55" s="417"/>
      <c r="C55" s="417"/>
      <c r="D55" s="417"/>
      <c r="E55" s="417" t="s">
        <v>218</v>
      </c>
      <c r="F55" s="417"/>
      <c r="G55" s="417"/>
      <c r="H55" s="431">
        <v>9249</v>
      </c>
      <c r="I55" s="421"/>
      <c r="J55" s="422"/>
      <c r="K55" s="423"/>
      <c r="L55" s="423">
        <v>9249</v>
      </c>
    </row>
    <row r="56" spans="1:12" ht="13.5" customHeight="1" x14ac:dyDescent="0.2">
      <c r="A56" s="310"/>
      <c r="B56" s="417"/>
      <c r="C56" s="417"/>
      <c r="D56" s="417"/>
      <c r="E56" s="417" t="s">
        <v>192</v>
      </c>
      <c r="F56" s="417"/>
      <c r="G56" s="417"/>
      <c r="H56" s="431">
        <v>3557.9</v>
      </c>
      <c r="I56" s="421"/>
      <c r="J56" s="422"/>
      <c r="K56" s="423"/>
      <c r="L56" s="423">
        <v>3557.9</v>
      </c>
    </row>
    <row r="57" spans="1:12" ht="13.5" hidden="1" customHeight="1" x14ac:dyDescent="0.2">
      <c r="A57" s="310"/>
      <c r="B57" s="417"/>
      <c r="C57" s="417"/>
      <c r="D57" s="417"/>
      <c r="E57" s="417" t="s">
        <v>193</v>
      </c>
      <c r="F57" s="417"/>
      <c r="G57" s="417"/>
      <c r="H57" s="431">
        <v>0</v>
      </c>
      <c r="I57" s="421"/>
      <c r="J57" s="422"/>
      <c r="K57" s="423"/>
      <c r="L57" s="423">
        <v>0</v>
      </c>
    </row>
    <row r="58" spans="1:12" ht="13.5" customHeight="1" x14ac:dyDescent="0.2">
      <c r="A58" s="310"/>
      <c r="B58" s="417"/>
      <c r="C58" s="417"/>
      <c r="D58" s="417"/>
      <c r="E58" s="417" t="s">
        <v>194</v>
      </c>
      <c r="F58" s="417"/>
      <c r="G58" s="417"/>
      <c r="H58" s="431">
        <v>5081.32</v>
      </c>
      <c r="I58" s="421"/>
      <c r="J58" s="422"/>
      <c r="K58" s="423"/>
      <c r="L58" s="423">
        <v>5081.32</v>
      </c>
    </row>
    <row r="59" spans="1:12" ht="13.5" customHeight="1" thickBot="1" x14ac:dyDescent="0.25">
      <c r="A59" s="310"/>
      <c r="B59" s="417"/>
      <c r="C59" s="417"/>
      <c r="D59" s="417"/>
      <c r="E59" s="417" t="s">
        <v>195</v>
      </c>
      <c r="F59" s="417"/>
      <c r="G59" s="417"/>
      <c r="H59" s="431">
        <v>54373.7</v>
      </c>
      <c r="I59" s="421"/>
      <c r="J59" s="426"/>
      <c r="K59" s="433"/>
      <c r="L59" s="427">
        <v>54373.7</v>
      </c>
    </row>
    <row r="60" spans="1:12" ht="13.5" customHeight="1" thickBot="1" x14ac:dyDescent="0.25">
      <c r="A60" s="310"/>
      <c r="B60" s="417"/>
      <c r="C60" s="417"/>
      <c r="D60" s="417"/>
      <c r="E60" s="417" t="s">
        <v>232</v>
      </c>
      <c r="F60" s="417"/>
      <c r="G60" s="417"/>
      <c r="H60" s="418">
        <v>0</v>
      </c>
      <c r="I60" s="425"/>
      <c r="J60" s="426"/>
      <c r="K60" s="423"/>
      <c r="L60" s="427">
        <v>0</v>
      </c>
    </row>
    <row r="61" spans="1:12" x14ac:dyDescent="0.2">
      <c r="A61" s="310"/>
      <c r="B61" s="417"/>
      <c r="C61" s="417"/>
      <c r="D61" s="417" t="s">
        <v>116</v>
      </c>
      <c r="E61" s="417"/>
      <c r="F61" s="417"/>
      <c r="G61" s="417"/>
      <c r="H61" s="432">
        <v>188229.79</v>
      </c>
      <c r="I61" s="425"/>
      <c r="J61" s="422">
        <v>0</v>
      </c>
      <c r="K61" s="423"/>
      <c r="L61" s="433">
        <v>188229.78999999998</v>
      </c>
    </row>
    <row r="62" spans="1:12" ht="15.75" customHeight="1" x14ac:dyDescent="0.2">
      <c r="A62" s="310"/>
      <c r="B62" s="417"/>
      <c r="C62" s="417"/>
      <c r="D62" s="417"/>
      <c r="E62" s="417"/>
      <c r="F62" s="417" t="s">
        <v>233</v>
      </c>
      <c r="G62" s="417"/>
      <c r="H62" s="429">
        <v>-68259.060000000012</v>
      </c>
      <c r="I62" s="429"/>
      <c r="J62" s="429">
        <v>-59593.579999999994</v>
      </c>
      <c r="K62" s="434"/>
      <c r="L62" s="429">
        <v>-127852.63999999998</v>
      </c>
    </row>
    <row r="63" spans="1:12" x14ac:dyDescent="0.2">
      <c r="A63" s="325" t="s">
        <v>480</v>
      </c>
      <c r="B63" s="416"/>
      <c r="C63" s="416"/>
      <c r="D63" s="416"/>
      <c r="E63" s="416"/>
      <c r="F63" s="416"/>
      <c r="G63" s="416"/>
      <c r="H63" s="438">
        <v>15000</v>
      </c>
      <c r="I63" s="423"/>
      <c r="J63" s="422">
        <v>-15000</v>
      </c>
      <c r="K63" s="423"/>
      <c r="L63" s="429">
        <v>0</v>
      </c>
    </row>
    <row r="64" spans="1:12" ht="17.25" customHeight="1" thickBot="1" x14ac:dyDescent="0.25">
      <c r="B64" s="416"/>
      <c r="C64" s="417" t="s">
        <v>234</v>
      </c>
      <c r="D64" s="416"/>
      <c r="E64" s="416"/>
      <c r="F64" s="416"/>
      <c r="G64" s="416"/>
      <c r="H64" s="435">
        <v>47269.030000000021</v>
      </c>
      <c r="I64" s="430"/>
      <c r="J64" s="435">
        <v>190160.55</v>
      </c>
      <c r="K64" s="430"/>
      <c r="L64" s="436">
        <v>237429.58000000002</v>
      </c>
    </row>
    <row r="65" spans="2:12" ht="16.5" customHeight="1" x14ac:dyDescent="0.2">
      <c r="B65" s="416"/>
      <c r="C65" s="416"/>
      <c r="D65" s="416"/>
      <c r="E65" s="416"/>
      <c r="F65" s="416"/>
      <c r="G65" s="416"/>
    </row>
    <row r="66" spans="2:12" x14ac:dyDescent="0.2">
      <c r="C66" s="325" t="s">
        <v>235</v>
      </c>
      <c r="H66" s="342">
        <v>-5990.0299999999916</v>
      </c>
      <c r="J66" s="341">
        <v>115566.97</v>
      </c>
      <c r="L66" s="342">
        <v>109576.94000000003</v>
      </c>
    </row>
  </sheetData>
  <pageMargins left="0.45" right="0.45" top="0.85" bottom="0" header="0.1" footer="0.3"/>
  <pageSetup scale="85" orientation="portrait" horizontalDpi="4294967293" verticalDpi="4294967293" r:id="rId1"/>
  <headerFooter>
    <oddHeader xml:space="preserve">&amp;C&amp;"Arial,Bold"&amp;12 League of Women Voters of California Education Fund
&amp;14 Statement of Activities
&amp;9July - January 2019&amp;10
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0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51201" r:id="rId4" name="FILTER"/>
      </mc:Fallback>
    </mc:AlternateContent>
    <mc:AlternateContent xmlns:mc="http://schemas.openxmlformats.org/markup-compatibility/2006">
      <mc:Choice Requires="x14">
        <control shapeId="5120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51202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tabSelected="1" topLeftCell="A38" zoomScale="90" zoomScaleNormal="90" workbookViewId="0">
      <selection activeCell="E69" sqref="E69"/>
    </sheetView>
  </sheetViews>
  <sheetFormatPr defaultRowHeight="15" x14ac:dyDescent="0.25"/>
  <cols>
    <col min="1" max="1" width="33.140625" customWidth="1"/>
    <col min="2" max="2" width="11.85546875" customWidth="1"/>
    <col min="3" max="3" width="14" customWidth="1"/>
    <col min="4" max="4" width="12.7109375" customWidth="1"/>
    <col min="5" max="5" width="10.7109375" customWidth="1"/>
    <col min="6" max="6" width="10.28515625" customWidth="1"/>
    <col min="7" max="7" width="10.5703125" customWidth="1"/>
    <col min="8" max="8" width="11.140625" customWidth="1"/>
    <col min="9" max="9" width="11.85546875" customWidth="1"/>
    <col min="10" max="10" width="11.140625" customWidth="1"/>
    <col min="11" max="11" width="15.42578125" customWidth="1"/>
    <col min="12" max="12" width="10.85546875" bestFit="1" customWidth="1"/>
    <col min="13" max="13" width="29.42578125" customWidth="1"/>
    <col min="14" max="15" width="12.140625" customWidth="1"/>
    <col min="16" max="18" width="11.85546875" customWidth="1"/>
    <col min="21" max="21" width="11.42578125" customWidth="1"/>
    <col min="22" max="22" width="13.28515625" customWidth="1"/>
    <col min="23" max="23" width="13.7109375" customWidth="1"/>
  </cols>
  <sheetData>
    <row r="1" spans="1:15" x14ac:dyDescent="0.25">
      <c r="A1" s="107" t="s">
        <v>119</v>
      </c>
    </row>
    <row r="2" spans="1:15" ht="15.75" thickBot="1" x14ac:dyDescent="0.3">
      <c r="A2" s="9" t="s">
        <v>470</v>
      </c>
      <c r="B2" s="6"/>
      <c r="C2" s="6"/>
      <c r="D2" s="6"/>
      <c r="E2" s="6"/>
      <c r="F2" s="6"/>
    </row>
    <row r="3" spans="1:15" ht="30.75" thickBot="1" x14ac:dyDescent="0.3">
      <c r="A3" s="11" t="s">
        <v>118</v>
      </c>
      <c r="B3" s="295" t="s">
        <v>33</v>
      </c>
      <c r="C3" s="294" t="s">
        <v>43</v>
      </c>
      <c r="D3" s="293" t="s">
        <v>117</v>
      </c>
      <c r="E3" s="14" t="s">
        <v>111</v>
      </c>
      <c r="F3" s="248"/>
    </row>
    <row r="4" spans="1:15" x14ac:dyDescent="0.25">
      <c r="A4" s="109" t="s">
        <v>27</v>
      </c>
      <c r="B4" s="25">
        <v>464144</v>
      </c>
      <c r="C4" s="24">
        <f>'LWVC-Stmt of Act. by Class'!CZ33</f>
        <v>258146.99</v>
      </c>
      <c r="D4" s="292">
        <f t="shared" ref="D4:D9" si="0">C4-B4</f>
        <v>-205997.01</v>
      </c>
      <c r="E4" s="110">
        <f>+C4/B4</f>
        <v>0.55617866438001995</v>
      </c>
      <c r="F4" s="290"/>
      <c r="G4" s="291">
        <f>12/11</f>
        <v>1.0909090909090908</v>
      </c>
    </row>
    <row r="5" spans="1:15" hidden="1" x14ac:dyDescent="0.25">
      <c r="A5" s="109"/>
      <c r="B5" s="25"/>
      <c r="C5" s="24"/>
      <c r="D5" s="91"/>
      <c r="E5" s="110"/>
      <c r="F5" s="290"/>
      <c r="G5" s="291"/>
    </row>
    <row r="6" spans="1:15" ht="15.75" thickBot="1" x14ac:dyDescent="0.3">
      <c r="A6" s="32" t="s">
        <v>32</v>
      </c>
      <c r="B6" s="289">
        <f>+B5+B4</f>
        <v>464144</v>
      </c>
      <c r="C6" s="332">
        <f>SUM(C4:C5)</f>
        <v>258146.99</v>
      </c>
      <c r="D6" s="93">
        <f t="shared" si="0"/>
        <v>-205997.01</v>
      </c>
      <c r="E6" s="110">
        <f>+C6/B6</f>
        <v>0.55617866438001995</v>
      </c>
      <c r="F6" s="290"/>
      <c r="G6" s="291"/>
    </row>
    <row r="7" spans="1:15" x14ac:dyDescent="0.25">
      <c r="A7" s="32" t="s">
        <v>116</v>
      </c>
      <c r="B7" s="25">
        <v>459967</v>
      </c>
      <c r="C7" s="24">
        <f>+K49</f>
        <v>185746.02000000002</v>
      </c>
      <c r="D7" s="91">
        <f t="shared" si="0"/>
        <v>-274220.98</v>
      </c>
      <c r="E7" s="110">
        <f>+C7/B7</f>
        <v>0.40382466568253811</v>
      </c>
      <c r="F7" s="290"/>
      <c r="G7" s="288"/>
    </row>
    <row r="8" spans="1:15" s="415" customFormat="1" x14ac:dyDescent="0.25">
      <c r="A8" s="32" t="s">
        <v>426</v>
      </c>
      <c r="B8" s="25"/>
      <c r="C8" s="24">
        <v>0</v>
      </c>
      <c r="D8" s="91">
        <f t="shared" si="0"/>
        <v>0</v>
      </c>
      <c r="E8" s="110"/>
      <c r="F8" s="290"/>
      <c r="G8" s="288"/>
    </row>
    <row r="9" spans="1:15" ht="15.75" thickBot="1" x14ac:dyDescent="0.3">
      <c r="A9" s="112" t="s">
        <v>1</v>
      </c>
      <c r="B9" s="289">
        <f>+B6-B7</f>
        <v>4177</v>
      </c>
      <c r="C9" s="332">
        <f>+C6-C7-C8</f>
        <v>72400.969999999972</v>
      </c>
      <c r="D9" s="93">
        <f t="shared" si="0"/>
        <v>68223.969999999972</v>
      </c>
      <c r="E9" s="114"/>
      <c r="F9" s="2"/>
      <c r="G9" s="288"/>
    </row>
    <row r="10" spans="1:15" x14ac:dyDescent="0.25">
      <c r="A10" s="21"/>
      <c r="B10" s="287"/>
      <c r="C10" s="105"/>
      <c r="D10" s="22"/>
      <c r="E10" s="20"/>
      <c r="F10" s="2"/>
    </row>
    <row r="11" spans="1:15" x14ac:dyDescent="0.25">
      <c r="A11" s="21" t="s">
        <v>444</v>
      </c>
      <c r="B11" s="31">
        <v>227786</v>
      </c>
      <c r="C11" s="49">
        <f>B11</f>
        <v>227786</v>
      </c>
      <c r="D11" s="22"/>
      <c r="E11" s="20"/>
      <c r="F11" s="6"/>
      <c r="K11" s="94"/>
      <c r="L11" s="94"/>
      <c r="M11" s="94"/>
      <c r="N11" s="94"/>
      <c r="O11" s="94"/>
    </row>
    <row r="12" spans="1:15" x14ac:dyDescent="0.25">
      <c r="A12" s="21" t="s">
        <v>445</v>
      </c>
      <c r="B12" s="23">
        <f>+B11+B9</f>
        <v>231963</v>
      </c>
      <c r="C12" s="24">
        <f>+C11+C9</f>
        <v>300186.96999999997</v>
      </c>
      <c r="D12" s="22"/>
      <c r="E12" s="20"/>
      <c r="F12" s="41"/>
      <c r="K12" s="94"/>
      <c r="L12" s="286"/>
      <c r="M12" s="286"/>
      <c r="N12" s="94"/>
      <c r="O12" s="94"/>
    </row>
    <row r="13" spans="1:15" x14ac:dyDescent="0.25">
      <c r="A13" s="21"/>
      <c r="B13" s="29"/>
      <c r="C13" s="50"/>
      <c r="D13" s="22"/>
      <c r="E13" s="20"/>
      <c r="F13" s="6"/>
      <c r="K13" s="94"/>
      <c r="L13" s="94"/>
      <c r="M13" s="94"/>
      <c r="N13" s="94"/>
      <c r="O13" s="94"/>
    </row>
    <row r="14" spans="1:15" x14ac:dyDescent="0.25">
      <c r="A14" s="32" t="s">
        <v>2</v>
      </c>
      <c r="B14" s="29"/>
      <c r="C14" s="50"/>
      <c r="D14" s="22"/>
      <c r="E14" s="7"/>
      <c r="F14" s="6"/>
    </row>
    <row r="15" spans="1:15" x14ac:dyDescent="0.25">
      <c r="A15" s="109" t="s">
        <v>115</v>
      </c>
      <c r="B15" s="23">
        <v>177940</v>
      </c>
      <c r="C15" s="24">
        <v>115000</v>
      </c>
      <c r="D15" s="22"/>
      <c r="E15" s="7"/>
      <c r="F15" s="6"/>
    </row>
    <row r="16" spans="1:15" x14ac:dyDescent="0.25">
      <c r="A16" s="109" t="s">
        <v>23</v>
      </c>
      <c r="B16" s="23">
        <v>0</v>
      </c>
      <c r="C16" s="24">
        <v>0</v>
      </c>
      <c r="D16" s="22"/>
      <c r="E16" s="7"/>
      <c r="F16" s="6"/>
    </row>
    <row r="17" spans="1:15" x14ac:dyDescent="0.25">
      <c r="A17" s="109" t="s">
        <v>20</v>
      </c>
      <c r="B17" s="23">
        <v>54023</v>
      </c>
      <c r="C17" s="24">
        <f>'LWVC-Stmt of Fin. Postn. by Mth'!AD80</f>
        <v>43116.2</v>
      </c>
      <c r="D17" s="22"/>
      <c r="E17" s="7"/>
      <c r="F17" s="6"/>
    </row>
    <row r="18" spans="1:15" x14ac:dyDescent="0.25">
      <c r="A18" s="109" t="s">
        <v>114</v>
      </c>
      <c r="B18" s="23">
        <v>0</v>
      </c>
      <c r="C18" s="24"/>
      <c r="D18" s="22"/>
      <c r="E18" s="7"/>
      <c r="F18" s="6"/>
      <c r="K18" s="286"/>
      <c r="L18" s="286"/>
      <c r="M18" s="286"/>
      <c r="N18" s="286"/>
      <c r="O18" s="286"/>
    </row>
    <row r="19" spans="1:15" ht="15.75" thickBot="1" x14ac:dyDescent="0.3">
      <c r="A19" s="112" t="s">
        <v>113</v>
      </c>
      <c r="B19" s="308"/>
      <c r="C19" s="113">
        <f>+C12-C15-C16-C17-C18</f>
        <v>142070.76999999996</v>
      </c>
      <c r="D19" s="22"/>
      <c r="E19" s="20"/>
      <c r="F19" s="6"/>
    </row>
    <row r="20" spans="1:15" x14ac:dyDescent="0.25">
      <c r="A20" s="7"/>
      <c r="B20" s="22"/>
      <c r="C20" s="25"/>
      <c r="D20" s="25"/>
      <c r="E20" s="6"/>
      <c r="F20" s="7"/>
      <c r="G20" s="1"/>
    </row>
    <row r="21" spans="1:15" ht="15.75" thickBot="1" x14ac:dyDescent="0.3">
      <c r="A21" s="1"/>
      <c r="B21" s="123"/>
      <c r="C21" s="59"/>
      <c r="D21" s="59"/>
      <c r="F21" s="1"/>
      <c r="G21" s="1"/>
    </row>
    <row r="22" spans="1:15" ht="29.25" customHeight="1" thickBot="1" x14ac:dyDescent="0.3">
      <c r="A22" s="285" t="s">
        <v>112</v>
      </c>
      <c r="B22" s="163" t="s">
        <v>33</v>
      </c>
      <c r="C22" s="165" t="s">
        <v>43</v>
      </c>
      <c r="D22" s="163" t="s">
        <v>44</v>
      </c>
      <c r="E22" s="284" t="s">
        <v>111</v>
      </c>
      <c r="F22" s="283" t="s">
        <v>110</v>
      </c>
      <c r="G22" s="282" t="s">
        <v>102</v>
      </c>
    </row>
    <row r="23" spans="1:15" x14ac:dyDescent="0.25">
      <c r="A23" s="127" t="s">
        <v>34</v>
      </c>
      <c r="B23" s="85">
        <v>188894</v>
      </c>
      <c r="C23" s="22">
        <f>'LWVC-Stmt of Act. by Class'!CZ10</f>
        <v>115553.63</v>
      </c>
      <c r="D23" s="277">
        <f t="shared" ref="D23:D28" si="1">+C23-B23</f>
        <v>-73340.37</v>
      </c>
      <c r="E23" s="276">
        <f>+C23/B23</f>
        <v>0.61173795885523097</v>
      </c>
      <c r="F23" s="271">
        <f>E23-B23</f>
        <v>-188893.38826204115</v>
      </c>
      <c r="G23" s="270">
        <f>E23/B23</f>
        <v>3.2385250926722447E-6</v>
      </c>
    </row>
    <row r="24" spans="1:15" x14ac:dyDescent="0.25">
      <c r="A24" s="127" t="s">
        <v>35</v>
      </c>
      <c r="B24" s="278">
        <f>122500-25000</f>
        <v>97500</v>
      </c>
      <c r="C24" s="128">
        <f>'LWVC-Stmt of Act. by Class'!CZ12+'LWVC-Stmt of Act. by Class'!CZ14</f>
        <v>37405.599999999999</v>
      </c>
      <c r="D24" s="277">
        <f t="shared" si="1"/>
        <v>-60094.400000000001</v>
      </c>
      <c r="E24" s="276">
        <f>+C24/B24</f>
        <v>0.38364717948717947</v>
      </c>
      <c r="F24" s="271">
        <f>E24-B24</f>
        <v>-97499.616352820507</v>
      </c>
      <c r="G24" s="270">
        <f>E24/B24</f>
        <v>3.9348428665351743E-6</v>
      </c>
    </row>
    <row r="25" spans="1:15" x14ac:dyDescent="0.25">
      <c r="A25" s="127" t="s">
        <v>198</v>
      </c>
      <c r="B25" s="278">
        <v>5750</v>
      </c>
      <c r="C25" s="128">
        <f>'LWVC-Stmt of Act. by Class'!CZ15+'LWVC-Stmt of Act. by Class'!CZ16</f>
        <v>18250</v>
      </c>
      <c r="D25" s="277">
        <f t="shared" si="1"/>
        <v>12500</v>
      </c>
      <c r="E25" s="276">
        <f>+C25/B25</f>
        <v>3.1739130434782608</v>
      </c>
      <c r="F25" s="271"/>
      <c r="G25" s="270"/>
    </row>
    <row r="26" spans="1:15" x14ac:dyDescent="0.25">
      <c r="A26" s="127" t="s">
        <v>109</v>
      </c>
      <c r="B26" s="278">
        <v>25000</v>
      </c>
      <c r="C26" s="128">
        <f>'LWVC-Stmt of Act. by Class'!CZ13</f>
        <v>6895</v>
      </c>
      <c r="D26" s="277">
        <f t="shared" si="1"/>
        <v>-18105</v>
      </c>
      <c r="E26" s="276">
        <f t="shared" ref="E26" si="2">+C26/B26</f>
        <v>0.27579999999999999</v>
      </c>
      <c r="F26" s="271">
        <f>E26-B26</f>
        <v>-24999.724200000001</v>
      </c>
      <c r="G26" s="270"/>
    </row>
    <row r="27" spans="1:15" x14ac:dyDescent="0.25">
      <c r="A27" s="127" t="s">
        <v>108</v>
      </c>
      <c r="B27" s="278">
        <v>144900</v>
      </c>
      <c r="C27" s="33">
        <f>'LWVC-Stmt of Act. by Class'!CZ28</f>
        <v>78956.66</v>
      </c>
      <c r="D27" s="277">
        <f t="shared" si="1"/>
        <v>-65943.34</v>
      </c>
      <c r="E27" s="276">
        <f>+C27/B27</f>
        <v>0.54490448585231199</v>
      </c>
      <c r="F27" s="271">
        <f>E27-B27</f>
        <v>-144899.45509551416</v>
      </c>
      <c r="G27" s="270">
        <f>E27/B27</f>
        <v>3.7605554579179573E-6</v>
      </c>
    </row>
    <row r="28" spans="1:15" x14ac:dyDescent="0.25">
      <c r="A28" s="127" t="s">
        <v>54</v>
      </c>
      <c r="B28" s="278">
        <v>2100</v>
      </c>
      <c r="C28" s="33">
        <f>'LWVC-Stmt of Act. by Class'!CZ29+'LWVC-Stmt of Act. by Class'!CZ30-'LWVC-Stmt of Act. by Class'!CZ32</f>
        <v>1086.0999999999999</v>
      </c>
      <c r="D28" s="277">
        <f t="shared" si="1"/>
        <v>-1013.9000000000001</v>
      </c>
      <c r="E28" s="276">
        <f>+C28/B28</f>
        <v>0.5171904761904762</v>
      </c>
      <c r="F28" s="271"/>
      <c r="G28" s="270"/>
      <c r="H28" s="139"/>
      <c r="I28" s="137"/>
      <c r="J28" s="137"/>
      <c r="K28" s="1"/>
      <c r="L28" s="1"/>
      <c r="M28" s="1"/>
      <c r="N28" s="1"/>
      <c r="O28" s="1"/>
    </row>
    <row r="29" spans="1:15" ht="15.75" hidden="1" thickBot="1" x14ac:dyDescent="0.3">
      <c r="A29" s="130" t="s">
        <v>447</v>
      </c>
      <c r="B29" s="281">
        <f>SUM(B23:B28)</f>
        <v>464144</v>
      </c>
      <c r="C29" s="69">
        <f>SUM(C23:C28)</f>
        <v>258146.99000000002</v>
      </c>
      <c r="D29" s="280">
        <f>SUM(D23:D28)</f>
        <v>-205997.00999999998</v>
      </c>
      <c r="E29" s="279">
        <f>+C29/B29</f>
        <v>0.55617866438002006</v>
      </c>
      <c r="F29" s="271">
        <f>E29-B29</f>
        <v>-464143.44382133562</v>
      </c>
      <c r="G29" s="270">
        <f>E29/B29</f>
        <v>1.1982890318091368E-6</v>
      </c>
      <c r="H29" s="139"/>
      <c r="I29" s="137"/>
      <c r="J29" s="137"/>
      <c r="K29" s="1"/>
      <c r="L29" s="1"/>
      <c r="M29" s="1"/>
      <c r="N29" s="1"/>
      <c r="O29" s="1"/>
    </row>
    <row r="30" spans="1:15" ht="21.75" hidden="1" customHeight="1" thickTop="1" x14ac:dyDescent="0.25">
      <c r="A30" s="127"/>
      <c r="B30" s="278"/>
      <c r="C30" s="33"/>
      <c r="D30" s="277"/>
      <c r="E30" s="276"/>
      <c r="F30" s="271"/>
      <c r="G30" s="270"/>
      <c r="H30" s="545"/>
      <c r="I30" s="545"/>
      <c r="J30" s="545"/>
      <c r="K30" s="545"/>
      <c r="L30" s="545"/>
      <c r="M30" s="275"/>
      <c r="N30" s="1"/>
      <c r="O30" s="1"/>
    </row>
    <row r="31" spans="1:15" ht="15.75" thickBot="1" x14ac:dyDescent="0.3">
      <c r="A31" s="160" t="s">
        <v>107</v>
      </c>
      <c r="B31" s="274">
        <f>B30+B29</f>
        <v>464144</v>
      </c>
      <c r="C31" s="62">
        <f>+C30+C29</f>
        <v>258146.99000000002</v>
      </c>
      <c r="D31" s="273">
        <f>SUM(D29:D30)</f>
        <v>-205997.00999999998</v>
      </c>
      <c r="E31" s="272">
        <f>+C31/B31</f>
        <v>0.55617866438002006</v>
      </c>
      <c r="F31" s="271">
        <f>E31-B31</f>
        <v>-464143.44382133562</v>
      </c>
      <c r="G31" s="270">
        <f>E31/B31</f>
        <v>1.1982890318091368E-6</v>
      </c>
      <c r="H31" s="269"/>
      <c r="I31" s="137"/>
      <c r="J31" s="137"/>
      <c r="K31" s="1"/>
      <c r="L31" s="1"/>
      <c r="M31" s="1"/>
      <c r="N31" s="1"/>
      <c r="O31" s="1"/>
    </row>
    <row r="32" spans="1:15" x14ac:dyDescent="0.25">
      <c r="A32" s="1"/>
      <c r="B32" s="123"/>
      <c r="C32" s="59"/>
      <c r="D32" s="59"/>
      <c r="F32" s="1"/>
      <c r="G32" s="1"/>
      <c r="I32" s="137"/>
      <c r="J32" s="137"/>
      <c r="K32" s="1"/>
      <c r="L32" s="1"/>
      <c r="M32" s="1"/>
      <c r="N32" s="1"/>
      <c r="O32" s="1"/>
    </row>
    <row r="33" spans="1:12" ht="29.25" customHeight="1" thickBot="1" x14ac:dyDescent="0.3">
      <c r="A33" s="175" t="s">
        <v>446</v>
      </c>
    </row>
    <row r="34" spans="1:12" x14ac:dyDescent="0.25">
      <c r="A34" s="238" t="s">
        <v>72</v>
      </c>
      <c r="B34" s="541" t="s">
        <v>73</v>
      </c>
      <c r="C34" s="541"/>
      <c r="D34" s="541"/>
      <c r="E34" s="541"/>
      <c r="F34" s="541" t="s">
        <v>74</v>
      </c>
      <c r="G34" s="541"/>
      <c r="H34" s="541"/>
      <c r="I34" s="541"/>
      <c r="J34" s="541"/>
      <c r="K34" s="544"/>
    </row>
    <row r="35" spans="1:12" ht="29.25" customHeight="1" x14ac:dyDescent="0.25">
      <c r="A35" s="92"/>
      <c r="B35" s="249" t="s">
        <v>75</v>
      </c>
      <c r="C35" s="249" t="s">
        <v>76</v>
      </c>
      <c r="D35" s="249" t="s">
        <v>77</v>
      </c>
      <c r="E35" s="121" t="s">
        <v>78</v>
      </c>
      <c r="F35" s="249" t="s">
        <v>106</v>
      </c>
      <c r="G35" s="249" t="s">
        <v>105</v>
      </c>
      <c r="H35" s="249" t="s">
        <v>36</v>
      </c>
      <c r="I35" s="249" t="s">
        <v>103</v>
      </c>
      <c r="J35" s="121" t="s">
        <v>82</v>
      </c>
      <c r="K35" s="186" t="s">
        <v>83</v>
      </c>
    </row>
    <row r="36" spans="1:12" x14ac:dyDescent="0.25">
      <c r="A36" s="92" t="s">
        <v>84</v>
      </c>
      <c r="B36" s="155">
        <v>11222</v>
      </c>
      <c r="C36" s="123">
        <v>21729</v>
      </c>
      <c r="D36" s="123">
        <v>47943</v>
      </c>
      <c r="E36" s="123">
        <f>SUM(B36:D36)</f>
        <v>80894</v>
      </c>
      <c r="F36" s="123">
        <v>19519</v>
      </c>
      <c r="G36" s="123">
        <v>3199</v>
      </c>
      <c r="H36" s="123">
        <v>45047</v>
      </c>
      <c r="I36" s="123">
        <v>144331</v>
      </c>
      <c r="J36" s="123">
        <f>SUM(F36:I36)</f>
        <v>212096</v>
      </c>
      <c r="K36" s="70">
        <f>+J36+E36</f>
        <v>292990</v>
      </c>
    </row>
    <row r="37" spans="1:12" x14ac:dyDescent="0.25">
      <c r="A37" s="92" t="s">
        <v>85</v>
      </c>
      <c r="B37" s="128">
        <v>15008</v>
      </c>
      <c r="C37" s="60">
        <v>2020</v>
      </c>
      <c r="D37" s="60">
        <v>533</v>
      </c>
      <c r="E37" s="60">
        <f>SUM(B37:D37)</f>
        <v>17561</v>
      </c>
      <c r="F37" s="60">
        <v>5515</v>
      </c>
      <c r="G37" s="60">
        <v>3</v>
      </c>
      <c r="H37" s="60">
        <v>552</v>
      </c>
      <c r="I37" s="60">
        <v>5128</v>
      </c>
      <c r="J37" s="244">
        <f>SUM(F37:I37)</f>
        <v>11198</v>
      </c>
      <c r="K37" s="70">
        <f>+J37+E37</f>
        <v>28759</v>
      </c>
    </row>
    <row r="38" spans="1:12" x14ac:dyDescent="0.25">
      <c r="A38" s="92" t="s">
        <v>86</v>
      </c>
      <c r="B38" s="128">
        <f>382+249</f>
        <v>631</v>
      </c>
      <c r="C38" s="60">
        <f>916+1528+22467</f>
        <v>24911</v>
      </c>
      <c r="D38" s="60">
        <f>3327+996+0</f>
        <v>4323</v>
      </c>
      <c r="E38" s="60">
        <f>SUM(B38:D38)</f>
        <v>29865</v>
      </c>
      <c r="F38" s="60">
        <v>1569</v>
      </c>
      <c r="G38" s="60">
        <v>365</v>
      </c>
      <c r="H38" s="60">
        <v>33788</v>
      </c>
      <c r="I38" s="60">
        <v>17854</v>
      </c>
      <c r="J38" s="244">
        <f>SUM(F38:I38)</f>
        <v>53576</v>
      </c>
      <c r="K38" s="70">
        <f>+J38+E38</f>
        <v>83441</v>
      </c>
    </row>
    <row r="39" spans="1:12" x14ac:dyDescent="0.25">
      <c r="A39" s="92" t="s">
        <v>87</v>
      </c>
      <c r="B39" s="128">
        <f>+B40-B36-B37-B38</f>
        <v>2524</v>
      </c>
      <c r="C39" s="60">
        <f>+C40-C36-C37-C38</f>
        <v>19952</v>
      </c>
      <c r="D39" s="60">
        <f>+D40-D38-D37-D36</f>
        <v>16625</v>
      </c>
      <c r="E39" s="60">
        <f>SUM(B39:D39)</f>
        <v>39101</v>
      </c>
      <c r="F39" s="60">
        <v>2182</v>
      </c>
      <c r="G39" s="60">
        <v>261</v>
      </c>
      <c r="H39" s="60">
        <v>3967</v>
      </c>
      <c r="I39" s="60">
        <v>9266</v>
      </c>
      <c r="J39" s="244">
        <f>SUM(F39:I39)</f>
        <v>15676</v>
      </c>
      <c r="K39" s="70">
        <f>+J39+E39</f>
        <v>54777</v>
      </c>
    </row>
    <row r="40" spans="1:12" ht="15.75" thickBot="1" x14ac:dyDescent="0.3">
      <c r="A40" s="149" t="s">
        <v>88</v>
      </c>
      <c r="B40" s="268">
        <v>29385</v>
      </c>
      <c r="C40" s="243">
        <v>68612</v>
      </c>
      <c r="D40" s="243">
        <v>69424</v>
      </c>
      <c r="E40" s="242">
        <f t="shared" ref="E40:K40" si="3">SUM(E36:E39)</f>
        <v>167421</v>
      </c>
      <c r="F40" s="242">
        <f t="shared" si="3"/>
        <v>28785</v>
      </c>
      <c r="G40" s="242">
        <f t="shared" si="3"/>
        <v>3828</v>
      </c>
      <c r="H40" s="242">
        <f t="shared" si="3"/>
        <v>83354</v>
      </c>
      <c r="I40" s="242">
        <f t="shared" si="3"/>
        <v>176579</v>
      </c>
      <c r="J40" s="243">
        <f t="shared" si="3"/>
        <v>292546</v>
      </c>
      <c r="K40" s="296">
        <f t="shared" si="3"/>
        <v>459967</v>
      </c>
    </row>
    <row r="41" spans="1:12" ht="5.25" customHeight="1" x14ac:dyDescent="0.25">
      <c r="A41" s="92"/>
      <c r="B41" s="267"/>
      <c r="C41" s="267"/>
      <c r="D41" s="267"/>
      <c r="E41" s="267"/>
      <c r="F41" s="267"/>
      <c r="G41" s="267"/>
      <c r="H41" s="267"/>
      <c r="I41" s="267"/>
      <c r="J41" s="267"/>
      <c r="K41" s="266"/>
    </row>
    <row r="42" spans="1:12" ht="15" customHeight="1" thickBot="1" x14ac:dyDescent="0.3">
      <c r="A42" s="92"/>
      <c r="B42" s="267"/>
      <c r="C42" s="267"/>
      <c r="D42" s="267"/>
      <c r="E42" s="267"/>
      <c r="F42" s="267"/>
      <c r="G42" s="267"/>
      <c r="H42" s="267"/>
      <c r="I42" s="267"/>
      <c r="J42" s="267"/>
      <c r="K42" s="266"/>
    </row>
    <row r="43" spans="1:12" x14ac:dyDescent="0.25">
      <c r="A43" s="201" t="s">
        <v>473</v>
      </c>
      <c r="B43" s="542" t="s">
        <v>73</v>
      </c>
      <c r="C43" s="542"/>
      <c r="D43" s="542"/>
      <c r="E43" s="542"/>
      <c r="F43" s="542" t="s">
        <v>74</v>
      </c>
      <c r="G43" s="542"/>
      <c r="H43" s="542"/>
      <c r="I43" s="542"/>
      <c r="J43" s="542"/>
      <c r="K43" s="543"/>
    </row>
    <row r="44" spans="1:12" ht="30.75" customHeight="1" x14ac:dyDescent="0.25">
      <c r="A44" s="205"/>
      <c r="B44" s="265" t="s">
        <v>75</v>
      </c>
      <c r="C44" s="265" t="s">
        <v>76</v>
      </c>
      <c r="D44" s="265" t="s">
        <v>77</v>
      </c>
      <c r="E44" s="264" t="s">
        <v>78</v>
      </c>
      <c r="F44" s="265" t="s">
        <v>106</v>
      </c>
      <c r="G44" s="265" t="s">
        <v>105</v>
      </c>
      <c r="H44" s="265" t="s">
        <v>36</v>
      </c>
      <c r="I44" s="265" t="s">
        <v>103</v>
      </c>
      <c r="J44" s="264" t="s">
        <v>82</v>
      </c>
      <c r="K44" s="209" t="s">
        <v>83</v>
      </c>
    </row>
    <row r="45" spans="1:12" x14ac:dyDescent="0.25">
      <c r="A45" s="205" t="s">
        <v>84</v>
      </c>
      <c r="B45" s="328">
        <f>'LWVC-Stmt of Act. by Class'!H35</f>
        <v>2086.34</v>
      </c>
      <c r="C45" s="328">
        <f>'LWVC-Stmt of Act. by Class'!L35</f>
        <v>6804.35</v>
      </c>
      <c r="D45" s="328">
        <f>'LWVC-Stmt of Act. by Class'!T35</f>
        <v>11923.1</v>
      </c>
      <c r="E45" s="328">
        <f>B45+C45+D45</f>
        <v>20813.79</v>
      </c>
      <c r="F45" s="328">
        <f>'LWVC-Stmt of Act. by Class'!AR35+'LWVC-Stmt of Act. by Class'!AJ35</f>
        <v>5559.2000000000007</v>
      </c>
      <c r="G45" s="328">
        <f>'LWVC-Stmt of Act. by Class'!AN35</f>
        <v>1317.12</v>
      </c>
      <c r="H45" s="328">
        <f>'LWVC-Stmt of Act. by Class'!BH35</f>
        <v>20063.95</v>
      </c>
      <c r="I45" s="328">
        <f>'LWVC-Stmt of Act. by Class'!BX35</f>
        <v>44912.89</v>
      </c>
      <c r="J45" s="328">
        <f>SUM(F45:I45)</f>
        <v>71853.16</v>
      </c>
      <c r="K45" s="329">
        <f>J45+E45</f>
        <v>92666.950000000012</v>
      </c>
      <c r="L45" s="263"/>
    </row>
    <row r="46" spans="1:12" x14ac:dyDescent="0.25">
      <c r="A46" s="205" t="s">
        <v>85</v>
      </c>
      <c r="B46" s="330">
        <f>'LWVC-Stmt of Act. by Class'!H45</f>
        <v>4965.3100000000004</v>
      </c>
      <c r="C46" s="330">
        <f>'LWVC-Stmt of Act. by Class'!L45</f>
        <v>646.09</v>
      </c>
      <c r="D46" s="330">
        <f>'LWVC-Stmt of Act. by Class'!T45</f>
        <v>1400.15</v>
      </c>
      <c r="E46" s="330">
        <f>SUM(B46:D46)</f>
        <v>7011.5500000000011</v>
      </c>
      <c r="F46" s="330">
        <f>'LWVC-Stmt of Act. by Class'!AJ45+'LWVC-Stmt of Act. by Class'!AR45</f>
        <v>2355.73</v>
      </c>
      <c r="G46" s="330">
        <f>'LWVC-Stmt of Act. by Class'!AN45</f>
        <v>0</v>
      </c>
      <c r="H46" s="330">
        <f>'LWVC-Stmt of Act. by Class'!BH45</f>
        <v>2.4700000000000002</v>
      </c>
      <c r="I46" s="330">
        <f>'LWVC-Stmt of Act. by Class'!BX45</f>
        <v>2153.65</v>
      </c>
      <c r="J46" s="331">
        <f>SUM(F46:I46)</f>
        <v>4511.8500000000004</v>
      </c>
      <c r="K46" s="329">
        <f>J46+E46</f>
        <v>11523.400000000001</v>
      </c>
    </row>
    <row r="47" spans="1:12" x14ac:dyDescent="0.25">
      <c r="A47" s="205" t="s">
        <v>86</v>
      </c>
      <c r="B47" s="330">
        <f>'LWVC-Stmt of Act. by Class'!H50+'LWVC-Stmt of Act. by Class'!H49+'LWVC-Stmt of Act. by Class'!H36</f>
        <v>1742.12</v>
      </c>
      <c r="C47" s="330">
        <f>'LWVC-Stmt of Act. by Class'!L50+'LWVC-Stmt of Act. by Class'!L49+'LWVC-Stmt of Act. by Class'!L36</f>
        <v>23075.760000000002</v>
      </c>
      <c r="D47" s="330">
        <f>'LWVC-Stmt of Act. by Class'!T50+'LWVC-Stmt of Act. by Class'!T49+'LWVC-Stmt of Act. by Class'!T36</f>
        <v>7838.13</v>
      </c>
      <c r="E47" s="330">
        <f>SUM(B47:D47)</f>
        <v>32656.010000000002</v>
      </c>
      <c r="F47" s="330">
        <f>'LWVC-Stmt of Act. by Class'!AJ50+'LWVC-Stmt of Act. by Class'!AJ49+'LWVC-Stmt of Act. by Class'!AJ36+'LWVC-Stmt of Act. by Class'!AR36+'LWVC-Stmt of Act. by Class'!AR49+'LWVC-Stmt of Act. by Class'!AR50</f>
        <v>1932.78</v>
      </c>
      <c r="G47" s="330">
        <f>'LWVC-Stmt of Act. by Class'!AN50+'LWVC-Stmt of Act. by Class'!AN49+'LWVC-Stmt of Act. by Class'!AN36</f>
        <v>76.739999999999995</v>
      </c>
      <c r="H47" s="330">
        <f>'LWVC-Stmt of Act. by Class'!BH50+'LWVC-Stmt of Act. by Class'!BH49</f>
        <v>13264.230000000001</v>
      </c>
      <c r="I47" s="330">
        <f>'LWVC-Stmt of Act. by Class'!BX50+'LWVC-Stmt of Act. by Class'!BX49+'LWVC-Stmt of Act. by Class'!BX36</f>
        <v>10499.57</v>
      </c>
      <c r="J47" s="331">
        <f>SUM(F47:I47)</f>
        <v>25773.32</v>
      </c>
      <c r="K47" s="329">
        <f>J47+E47</f>
        <v>58429.33</v>
      </c>
    </row>
    <row r="48" spans="1:12" x14ac:dyDescent="0.25">
      <c r="A48" s="205" t="s">
        <v>87</v>
      </c>
      <c r="B48" s="330">
        <f>B49-B47-B46-B45</f>
        <v>1366.1299999999983</v>
      </c>
      <c r="C48" s="330">
        <f>C49-C47-C46-C45</f>
        <v>7157.2499999999945</v>
      </c>
      <c r="D48" s="330">
        <f>D49-D47-D46-D45</f>
        <v>2965.5299999999988</v>
      </c>
      <c r="E48" s="330">
        <f>SUM(B48:D48)</f>
        <v>11488.909999999993</v>
      </c>
      <c r="F48" s="330">
        <f>F49-F47-F46-F45</f>
        <v>877.80999999999949</v>
      </c>
      <c r="G48" s="330">
        <f>G49-G47-G46-G45</f>
        <v>170.99</v>
      </c>
      <c r="H48" s="330">
        <f>H49-H47-H46-H45</f>
        <v>3189.299999999992</v>
      </c>
      <c r="I48" s="330">
        <f>I49-I47-I46-I45</f>
        <v>7399.3300000000017</v>
      </c>
      <c r="J48" s="331">
        <f>SUM(F48:I48)</f>
        <v>11637.429999999993</v>
      </c>
      <c r="K48" s="329">
        <f>J48+E48</f>
        <v>23126.339999999986</v>
      </c>
    </row>
    <row r="49" spans="1:13" ht="15.75" thickBot="1" x14ac:dyDescent="0.3">
      <c r="A49" s="262" t="s">
        <v>89</v>
      </c>
      <c r="B49" s="261">
        <f>'LWVC-Stmt of Act. by Class'!H51</f>
        <v>10159.9</v>
      </c>
      <c r="C49" s="261">
        <f>'LWVC-Stmt of Act. by Class'!L51</f>
        <v>37683.449999999997</v>
      </c>
      <c r="D49" s="261">
        <f>'LWVC-Stmt of Act. by Class'!T51</f>
        <v>24126.91</v>
      </c>
      <c r="E49" s="261">
        <f>SUM(E45:E48)</f>
        <v>71970.259999999995</v>
      </c>
      <c r="F49" s="261">
        <f>'LWVC-Stmt of Act. by Class'!AR51+'LWVC-Stmt of Act. by Class'!AJ51</f>
        <v>10725.52</v>
      </c>
      <c r="G49" s="261">
        <f>'LWVC-Stmt of Act. by Class'!AN51</f>
        <v>1564.85</v>
      </c>
      <c r="H49" s="261">
        <f>'LWVC-Stmt of Act. by Class'!BH51</f>
        <v>36519.949999999997</v>
      </c>
      <c r="I49" s="261">
        <f>'LWVC-Stmt of Act. by Class'!BX51</f>
        <v>64965.440000000002</v>
      </c>
      <c r="J49" s="344">
        <f>SUM(F49:I49)</f>
        <v>113775.76000000001</v>
      </c>
      <c r="K49" s="345">
        <f>J49+E49</f>
        <v>185746.02000000002</v>
      </c>
      <c r="L49" s="367"/>
    </row>
    <row r="50" spans="1:13" s="3" customFormat="1" ht="15.75" thickBot="1" x14ac:dyDescent="0.3">
      <c r="A50" s="95"/>
      <c r="B50" s="260"/>
      <c r="C50" s="131"/>
      <c r="D50" s="131"/>
      <c r="E50" s="260"/>
      <c r="F50" s="260"/>
      <c r="G50" s="260"/>
      <c r="H50" s="260"/>
      <c r="I50" s="260"/>
      <c r="J50" s="61"/>
      <c r="K50" s="71"/>
    </row>
    <row r="51" spans="1:13" x14ac:dyDescent="0.25">
      <c r="A51" s="218" t="s">
        <v>479</v>
      </c>
      <c r="B51" s="541" t="s">
        <v>73</v>
      </c>
      <c r="C51" s="541"/>
      <c r="D51" s="541"/>
      <c r="E51" s="541"/>
      <c r="F51" s="541" t="s">
        <v>74</v>
      </c>
      <c r="G51" s="541"/>
      <c r="H51" s="541"/>
      <c r="I51" s="541"/>
      <c r="J51" s="541"/>
      <c r="K51" s="544"/>
    </row>
    <row r="52" spans="1:13" ht="30" x14ac:dyDescent="0.25">
      <c r="A52" s="92"/>
      <c r="B52" s="249" t="s">
        <v>75</v>
      </c>
      <c r="C52" s="249" t="s">
        <v>76</v>
      </c>
      <c r="D52" s="249" t="s">
        <v>77</v>
      </c>
      <c r="E52" s="121" t="s">
        <v>78</v>
      </c>
      <c r="F52" s="249" t="s">
        <v>106</v>
      </c>
      <c r="G52" s="249" t="s">
        <v>105</v>
      </c>
      <c r="H52" s="249" t="s">
        <v>36</v>
      </c>
      <c r="I52" s="249" t="s">
        <v>103</v>
      </c>
      <c r="J52" s="121" t="s">
        <v>82</v>
      </c>
      <c r="K52" s="186" t="s">
        <v>83</v>
      </c>
    </row>
    <row r="53" spans="1:13" x14ac:dyDescent="0.25">
      <c r="A53" s="92" t="s">
        <v>84</v>
      </c>
      <c r="B53" s="256">
        <f t="shared" ref="B53:K53" si="4">+B36-B45</f>
        <v>9135.66</v>
      </c>
      <c r="C53" s="256">
        <f t="shared" si="4"/>
        <v>14924.65</v>
      </c>
      <c r="D53" s="256">
        <f t="shared" si="4"/>
        <v>36019.9</v>
      </c>
      <c r="E53" s="256">
        <f t="shared" si="4"/>
        <v>60080.21</v>
      </c>
      <c r="F53" s="256">
        <f t="shared" si="4"/>
        <v>13959.8</v>
      </c>
      <c r="G53" s="256">
        <f t="shared" si="4"/>
        <v>1881.88</v>
      </c>
      <c r="H53" s="256">
        <f t="shared" si="4"/>
        <v>24983.05</v>
      </c>
      <c r="I53" s="256">
        <f t="shared" si="4"/>
        <v>99418.11</v>
      </c>
      <c r="J53" s="256">
        <f t="shared" si="4"/>
        <v>140242.84</v>
      </c>
      <c r="K53" s="255">
        <f t="shared" si="4"/>
        <v>200323.05</v>
      </c>
    </row>
    <row r="54" spans="1:13" x14ac:dyDescent="0.25">
      <c r="A54" s="92" t="s">
        <v>85</v>
      </c>
      <c r="B54" s="256">
        <f t="shared" ref="B54:K54" si="5">+B37-B46</f>
        <v>10042.689999999999</v>
      </c>
      <c r="C54" s="256">
        <f t="shared" si="5"/>
        <v>1373.9099999999999</v>
      </c>
      <c r="D54" s="256">
        <f t="shared" si="5"/>
        <v>-867.15000000000009</v>
      </c>
      <c r="E54" s="256">
        <f t="shared" si="5"/>
        <v>10549.449999999999</v>
      </c>
      <c r="F54" s="256">
        <f t="shared" si="5"/>
        <v>3159.27</v>
      </c>
      <c r="G54" s="256">
        <f>+G37-G46</f>
        <v>3</v>
      </c>
      <c r="H54" s="256">
        <f t="shared" si="5"/>
        <v>549.53</v>
      </c>
      <c r="I54" s="256">
        <f t="shared" si="5"/>
        <v>2974.35</v>
      </c>
      <c r="J54" s="256">
        <f t="shared" si="5"/>
        <v>6686.15</v>
      </c>
      <c r="K54" s="255">
        <f t="shared" si="5"/>
        <v>17235.599999999999</v>
      </c>
    </row>
    <row r="55" spans="1:13" x14ac:dyDescent="0.25">
      <c r="A55" s="92" t="s">
        <v>86</v>
      </c>
      <c r="B55" s="256">
        <f t="shared" ref="B55:K55" si="6">+B38-B47</f>
        <v>-1111.1199999999999</v>
      </c>
      <c r="C55" s="256">
        <f t="shared" si="6"/>
        <v>1835.239999999998</v>
      </c>
      <c r="D55" s="256">
        <f t="shared" si="6"/>
        <v>-3515.13</v>
      </c>
      <c r="E55" s="256">
        <f t="shared" si="6"/>
        <v>-2791.010000000002</v>
      </c>
      <c r="F55" s="256">
        <f t="shared" si="6"/>
        <v>-363.78</v>
      </c>
      <c r="G55" s="256">
        <f t="shared" si="6"/>
        <v>288.26</v>
      </c>
      <c r="H55" s="259">
        <f t="shared" si="6"/>
        <v>20523.769999999997</v>
      </c>
      <c r="I55" s="256">
        <f t="shared" si="6"/>
        <v>7354.43</v>
      </c>
      <c r="J55" s="256">
        <f t="shared" si="6"/>
        <v>27802.68</v>
      </c>
      <c r="K55" s="255">
        <f t="shared" si="6"/>
        <v>25011.67</v>
      </c>
    </row>
    <row r="56" spans="1:13" x14ac:dyDescent="0.25">
      <c r="A56" s="92" t="s">
        <v>87</v>
      </c>
      <c r="B56" s="256">
        <f>+B39-B48+'[1]c4-Stmt of Activities by Class'!R46</f>
        <v>1551.8700000000017</v>
      </c>
      <c r="C56" s="256">
        <f>+C39-C48+'[1]c4-Stmt of Activities by Class'!S46</f>
        <v>12794.750000000005</v>
      </c>
      <c r="D56" s="256">
        <f t="shared" ref="D56:K57" si="7">+D39-D48</f>
        <v>13659.470000000001</v>
      </c>
      <c r="E56" s="256">
        <f t="shared" si="7"/>
        <v>27612.090000000007</v>
      </c>
      <c r="F56" s="256">
        <f t="shared" si="7"/>
        <v>1304.1900000000005</v>
      </c>
      <c r="G56" s="256">
        <f t="shared" si="7"/>
        <v>90.009999999999991</v>
      </c>
      <c r="H56" s="256">
        <f t="shared" si="7"/>
        <v>777.700000000008</v>
      </c>
      <c r="I56" s="256">
        <f t="shared" si="7"/>
        <v>1866.6699999999983</v>
      </c>
      <c r="J56" s="256">
        <f t="shared" si="7"/>
        <v>4038.570000000007</v>
      </c>
      <c r="K56" s="255">
        <f t="shared" si="7"/>
        <v>31650.660000000014</v>
      </c>
    </row>
    <row r="57" spans="1:13" ht="15.75" thickBot="1" x14ac:dyDescent="0.3">
      <c r="A57" s="149" t="s">
        <v>89</v>
      </c>
      <c r="B57" s="258">
        <f>+B40-B49</f>
        <v>19225.099999999999</v>
      </c>
      <c r="C57" s="258">
        <f>+C40-C49</f>
        <v>30928.550000000003</v>
      </c>
      <c r="D57" s="258">
        <f t="shared" si="7"/>
        <v>45297.09</v>
      </c>
      <c r="E57" s="258">
        <f t="shared" si="7"/>
        <v>95450.74</v>
      </c>
      <c r="F57" s="258">
        <f t="shared" si="7"/>
        <v>18059.48</v>
      </c>
      <c r="G57" s="258">
        <f t="shared" si="7"/>
        <v>2263.15</v>
      </c>
      <c r="H57" s="258">
        <f t="shared" si="7"/>
        <v>46834.05</v>
      </c>
      <c r="I57" s="258">
        <f t="shared" si="7"/>
        <v>111613.56</v>
      </c>
      <c r="J57" s="258">
        <f t="shared" si="7"/>
        <v>178770.24</v>
      </c>
      <c r="K57" s="257">
        <f t="shared" si="7"/>
        <v>274220.98</v>
      </c>
      <c r="L57" s="132"/>
    </row>
    <row r="58" spans="1:13" ht="15.75" thickBot="1" x14ac:dyDescent="0.3">
      <c r="A58" s="92"/>
      <c r="B58" s="256"/>
      <c r="C58" s="256"/>
      <c r="D58" s="256"/>
      <c r="E58" s="256"/>
      <c r="F58" s="256"/>
      <c r="G58" s="256"/>
      <c r="H58" s="256"/>
      <c r="I58" s="256"/>
      <c r="J58" s="256"/>
      <c r="K58" s="255"/>
    </row>
    <row r="59" spans="1:13" s="1" customFormat="1" x14ac:dyDescent="0.25">
      <c r="A59" s="218" t="s">
        <v>475</v>
      </c>
      <c r="B59" s="541" t="s">
        <v>73</v>
      </c>
      <c r="C59" s="541"/>
      <c r="D59" s="541"/>
      <c r="E59" s="541"/>
      <c r="F59" s="541" t="s">
        <v>74</v>
      </c>
      <c r="G59" s="541"/>
      <c r="H59" s="541"/>
      <c r="I59" s="541"/>
      <c r="J59" s="541"/>
      <c r="K59" s="544"/>
    </row>
    <row r="60" spans="1:13" s="1" customFormat="1" ht="30" x14ac:dyDescent="0.25">
      <c r="A60" s="92"/>
      <c r="B60" s="249" t="s">
        <v>75</v>
      </c>
      <c r="C60" s="249" t="s">
        <v>76</v>
      </c>
      <c r="D60" s="249" t="s">
        <v>77</v>
      </c>
      <c r="E60" s="121" t="s">
        <v>78</v>
      </c>
      <c r="F60" s="249" t="s">
        <v>106</v>
      </c>
      <c r="G60" s="249" t="s">
        <v>105</v>
      </c>
      <c r="H60" s="249" t="s">
        <v>36</v>
      </c>
      <c r="I60" s="249" t="s">
        <v>103</v>
      </c>
      <c r="J60" s="121" t="s">
        <v>82</v>
      </c>
      <c r="K60" s="186" t="s">
        <v>83</v>
      </c>
      <c r="M60" s="327"/>
    </row>
    <row r="61" spans="1:13" s="1" customFormat="1" x14ac:dyDescent="0.25">
      <c r="A61" s="92" t="s">
        <v>84</v>
      </c>
      <c r="B61" s="251">
        <f t="shared" ref="B61:K61" si="8">+B45/B36</f>
        <v>0.18591516663696311</v>
      </c>
      <c r="C61" s="251">
        <f t="shared" si="8"/>
        <v>0.31314602604813846</v>
      </c>
      <c r="D61" s="251">
        <f t="shared" si="8"/>
        <v>0.24869323988903491</v>
      </c>
      <c r="E61" s="251">
        <f t="shared" si="8"/>
        <v>0.25729708012955227</v>
      </c>
      <c r="F61" s="251">
        <f t="shared" si="8"/>
        <v>0.28480967262667151</v>
      </c>
      <c r="G61" s="251">
        <f t="shared" si="8"/>
        <v>0.41172866520787743</v>
      </c>
      <c r="H61" s="251">
        <f t="shared" si="8"/>
        <v>0.44540035962439234</v>
      </c>
      <c r="I61" s="251">
        <f t="shared" si="8"/>
        <v>0.31117978812590502</v>
      </c>
      <c r="J61" s="251">
        <f t="shared" si="8"/>
        <v>0.33877659173204588</v>
      </c>
      <c r="K61" s="254">
        <f t="shared" si="8"/>
        <v>0.31628024847264413</v>
      </c>
    </row>
    <row r="62" spans="1:13" s="1" customFormat="1" x14ac:dyDescent="0.25">
      <c r="A62" s="92" t="s">
        <v>85</v>
      </c>
      <c r="B62" s="251">
        <f t="shared" ref="B62:H65" si="9">+B46/B37</f>
        <v>0.33084421641791045</v>
      </c>
      <c r="C62" s="251">
        <f t="shared" si="9"/>
        <v>0.31984653465346535</v>
      </c>
      <c r="D62" s="125">
        <f t="shared" si="9"/>
        <v>2.6269230769230769</v>
      </c>
      <c r="E62" s="125">
        <f t="shared" si="9"/>
        <v>0.39926826490518769</v>
      </c>
      <c r="F62" s="125">
        <f t="shared" si="9"/>
        <v>0.42714959202175884</v>
      </c>
      <c r="G62" s="125">
        <f t="shared" si="9"/>
        <v>0</v>
      </c>
      <c r="H62" s="125">
        <f t="shared" si="9"/>
        <v>4.4746376811594206E-3</v>
      </c>
      <c r="I62" s="251">
        <f>+I46/I37</f>
        <v>0.4199785491419657</v>
      </c>
      <c r="J62" s="251">
        <f t="shared" ref="H62:K65" si="10">+J46/J37</f>
        <v>0.40291569923200576</v>
      </c>
      <c r="K62" s="254">
        <f>+K46/K37</f>
        <v>0.40068848012795999</v>
      </c>
      <c r="M62" s="327"/>
    </row>
    <row r="63" spans="1:13" s="1" customFormat="1" x14ac:dyDescent="0.25">
      <c r="A63" s="92" t="s">
        <v>86</v>
      </c>
      <c r="B63" s="251">
        <f t="shared" si="9"/>
        <v>2.7608874801901742</v>
      </c>
      <c r="C63" s="251">
        <f>+C47/C38</f>
        <v>0.92632812813616483</v>
      </c>
      <c r="D63" s="125">
        <f>+D47/D38</f>
        <v>1.8131228313671062</v>
      </c>
      <c r="E63" s="125">
        <f t="shared" si="9"/>
        <v>1.0934542106144316</v>
      </c>
      <c r="F63" s="125">
        <f>+F47/F38</f>
        <v>1.2318546845124283</v>
      </c>
      <c r="G63" s="125">
        <f>+G47/G38</f>
        <v>0.21024657534246574</v>
      </c>
      <c r="H63" s="125">
        <f t="shared" si="10"/>
        <v>0.39257221498756961</v>
      </c>
      <c r="I63" s="251">
        <f t="shared" si="10"/>
        <v>0.58807942197826812</v>
      </c>
      <c r="J63" s="251">
        <f t="shared" si="10"/>
        <v>0.48106092280125429</v>
      </c>
      <c r="K63" s="254">
        <f t="shared" si="10"/>
        <v>0.70024724056518983</v>
      </c>
    </row>
    <row r="64" spans="1:13" s="1" customFormat="1" x14ac:dyDescent="0.25">
      <c r="A64" s="92" t="s">
        <v>87</v>
      </c>
      <c r="B64" s="251">
        <f t="shared" si="9"/>
        <v>0.54125594294770141</v>
      </c>
      <c r="C64" s="251">
        <f t="shared" si="9"/>
        <v>0.35872343624699249</v>
      </c>
      <c r="D64" s="251">
        <f t="shared" si="9"/>
        <v>0.17837774436090217</v>
      </c>
      <c r="E64" s="251">
        <f t="shared" si="9"/>
        <v>0.29382650060100746</v>
      </c>
      <c r="F64" s="251">
        <f t="shared" si="9"/>
        <v>0.40229605866177798</v>
      </c>
      <c r="G64" s="251">
        <f>+G48/G39</f>
        <v>0.65513409961685831</v>
      </c>
      <c r="H64" s="251">
        <f t="shared" si="10"/>
        <v>0.80395765061759317</v>
      </c>
      <c r="I64" s="251">
        <f t="shared" si="10"/>
        <v>0.79854629829484158</v>
      </c>
      <c r="J64" s="251">
        <f t="shared" si="10"/>
        <v>0.74237241643276297</v>
      </c>
      <c r="K64" s="254">
        <f t="shared" si="10"/>
        <v>0.42219070047647711</v>
      </c>
    </row>
    <row r="65" spans="1:15" s="1" customFormat="1" ht="15.75" thickBot="1" x14ac:dyDescent="0.3">
      <c r="A65" s="149" t="s">
        <v>89</v>
      </c>
      <c r="B65" s="253">
        <f t="shared" si="9"/>
        <v>0.34575123362259658</v>
      </c>
      <c r="C65" s="253">
        <f t="shared" si="9"/>
        <v>0.54922535416545204</v>
      </c>
      <c r="D65" s="253">
        <f t="shared" si="9"/>
        <v>0.34752981677805944</v>
      </c>
      <c r="E65" s="253">
        <f t="shared" si="9"/>
        <v>0.42987594148882158</v>
      </c>
      <c r="F65" s="253">
        <f t="shared" si="9"/>
        <v>0.37260795553239534</v>
      </c>
      <c r="G65" s="253">
        <f>+G49/G40</f>
        <v>0.4087904911180773</v>
      </c>
      <c r="H65" s="253">
        <f t="shared" si="10"/>
        <v>0.43813074357559323</v>
      </c>
      <c r="I65" s="253">
        <f t="shared" si="10"/>
        <v>0.36791147305172189</v>
      </c>
      <c r="J65" s="253">
        <f t="shared" si="10"/>
        <v>0.38891579443916513</v>
      </c>
      <c r="K65" s="252">
        <f t="shared" si="10"/>
        <v>0.40382466568253811</v>
      </c>
    </row>
    <row r="66" spans="1:15" s="1" customFormat="1" x14ac:dyDescent="0.25">
      <c r="B66" s="251"/>
      <c r="C66" s="251"/>
      <c r="D66" s="251"/>
      <c r="E66" s="251"/>
      <c r="F66" s="251"/>
      <c r="G66" s="251"/>
      <c r="H66" s="251"/>
      <c r="I66" s="251"/>
      <c r="J66" s="251"/>
      <c r="K66" s="251"/>
    </row>
    <row r="67" spans="1:15" s="1" customFormat="1" x14ac:dyDescent="0.25">
      <c r="A67" s="2"/>
      <c r="B67" s="125"/>
      <c r="C67" s="132"/>
      <c r="D67" s="125"/>
      <c r="E67" s="251"/>
      <c r="F67" s="251"/>
      <c r="G67" s="251"/>
      <c r="H67" s="251"/>
      <c r="I67" s="251"/>
      <c r="J67" s="251"/>
      <c r="K67" s="251"/>
    </row>
    <row r="68" spans="1:15" s="1" customFormat="1" x14ac:dyDescent="0.25">
      <c r="A68" s="2"/>
      <c r="B68" s="125"/>
      <c r="C68" s="125"/>
      <c r="D68" s="125"/>
      <c r="E68" s="251"/>
      <c r="F68" s="251"/>
      <c r="G68" s="251"/>
      <c r="H68" s="251"/>
      <c r="I68" s="251"/>
      <c r="J68" s="251"/>
      <c r="K68" s="251"/>
    </row>
    <row r="69" spans="1:15" s="1" customFormat="1" x14ac:dyDescent="0.25">
      <c r="A69" s="2"/>
      <c r="B69" s="125"/>
      <c r="C69" s="125"/>
      <c r="D69" s="125"/>
      <c r="E69" s="251"/>
      <c r="F69" s="251"/>
      <c r="G69" s="251"/>
      <c r="H69" s="251"/>
      <c r="I69" s="251"/>
      <c r="J69" s="251"/>
      <c r="K69" s="251"/>
    </row>
    <row r="70" spans="1:15" s="1" customFormat="1" x14ac:dyDescent="0.25">
      <c r="B70" s="251"/>
      <c r="C70" s="251"/>
      <c r="D70" s="251"/>
      <c r="E70" s="251"/>
      <c r="F70" s="251"/>
      <c r="G70" s="251"/>
      <c r="H70" s="251"/>
      <c r="I70" s="251"/>
      <c r="J70" s="251"/>
      <c r="K70" s="251"/>
    </row>
    <row r="71" spans="1:15" s="1" customFormat="1" x14ac:dyDescent="0.25">
      <c r="B71" s="251"/>
      <c r="C71" s="251"/>
      <c r="D71" s="251"/>
      <c r="E71" s="251"/>
      <c r="F71" s="251"/>
      <c r="G71" s="251"/>
      <c r="H71" s="251"/>
      <c r="I71" s="251"/>
      <c r="J71" s="251"/>
      <c r="K71" s="251"/>
    </row>
    <row r="72" spans="1:15" s="1" customFormat="1" x14ac:dyDescent="0.25">
      <c r="B72" s="251"/>
      <c r="C72" s="251"/>
      <c r="D72" s="251"/>
      <c r="E72" s="251"/>
      <c r="F72" s="251"/>
      <c r="G72" s="251"/>
      <c r="H72" s="251"/>
      <c r="I72" s="251"/>
      <c r="J72" s="251"/>
      <c r="K72" s="251"/>
    </row>
    <row r="73" spans="1:15" s="1" customFormat="1" x14ac:dyDescent="0.25">
      <c r="B73" s="251"/>
      <c r="C73" s="251"/>
      <c r="D73" s="251"/>
      <c r="E73" s="251"/>
      <c r="F73" s="251"/>
      <c r="G73" s="251"/>
      <c r="H73" s="251"/>
      <c r="I73" s="251"/>
      <c r="J73" s="251"/>
      <c r="K73" s="251"/>
    </row>
    <row r="74" spans="1:15" s="1" customFormat="1" x14ac:dyDescent="0.25">
      <c r="B74" s="251"/>
      <c r="C74" s="251"/>
      <c r="D74" s="251"/>
      <c r="E74" s="251"/>
      <c r="F74" s="251"/>
      <c r="G74" s="251"/>
      <c r="H74" s="251"/>
      <c r="I74" s="251"/>
      <c r="J74" s="251"/>
      <c r="K74" s="251"/>
    </row>
    <row r="75" spans="1:15" s="1" customFormat="1" x14ac:dyDescent="0.25">
      <c r="B75" s="251"/>
      <c r="C75" s="251"/>
      <c r="D75" s="251"/>
      <c r="E75" s="251"/>
      <c r="F75" s="251"/>
      <c r="G75" s="251"/>
      <c r="H75" s="251"/>
      <c r="I75" s="251"/>
      <c r="J75" s="251"/>
      <c r="K75" s="251"/>
    </row>
    <row r="76" spans="1:15" ht="15.75" hidden="1" thickBot="1" x14ac:dyDescent="0.3">
      <c r="A76" s="92"/>
      <c r="B76" s="137"/>
      <c r="C76" s="250"/>
      <c r="D76" s="250"/>
      <c r="E76" s="137"/>
      <c r="F76" s="137"/>
      <c r="G76" s="137"/>
      <c r="H76" s="137"/>
      <c r="I76" s="137"/>
      <c r="J76" s="59"/>
      <c r="K76" s="70"/>
    </row>
    <row r="77" spans="1:15" ht="15.75" hidden="1" thickBot="1" x14ac:dyDescent="0.3">
      <c r="A77" s="238" t="s">
        <v>430</v>
      </c>
      <c r="B77" s="541" t="s">
        <v>73</v>
      </c>
      <c r="C77" s="541"/>
      <c r="D77" s="541"/>
      <c r="E77" s="541"/>
      <c r="F77" s="541" t="s">
        <v>74</v>
      </c>
      <c r="G77" s="541"/>
      <c r="H77" s="541"/>
      <c r="I77" s="541"/>
      <c r="J77" s="541"/>
      <c r="K77" s="544"/>
    </row>
    <row r="78" spans="1:15" ht="37.5" hidden="1" customHeight="1" x14ac:dyDescent="0.25">
      <c r="A78" s="92"/>
      <c r="B78" s="249" t="s">
        <v>75</v>
      </c>
      <c r="C78" s="249" t="s">
        <v>76</v>
      </c>
      <c r="D78" s="249" t="s">
        <v>77</v>
      </c>
      <c r="E78" s="121" t="s">
        <v>78</v>
      </c>
      <c r="F78" s="249" t="s">
        <v>106</v>
      </c>
      <c r="G78" s="249" t="s">
        <v>105</v>
      </c>
      <c r="H78" s="249" t="s">
        <v>104</v>
      </c>
      <c r="I78" s="249" t="s">
        <v>103</v>
      </c>
      <c r="J78" s="121" t="s">
        <v>82</v>
      </c>
      <c r="K78" s="186" t="s">
        <v>83</v>
      </c>
      <c r="L78" s="79" t="s">
        <v>102</v>
      </c>
      <c r="M78" s="248"/>
      <c r="N78" s="94"/>
      <c r="O78" s="94"/>
    </row>
    <row r="79" spans="1:15" hidden="1" x14ac:dyDescent="0.25">
      <c r="A79" s="92" t="s">
        <v>84</v>
      </c>
      <c r="B79" s="123">
        <f>B36*G4</f>
        <v>12242.181818181818</v>
      </c>
      <c r="C79" s="123">
        <f>C45*G4</f>
        <v>7422.9272727272728</v>
      </c>
      <c r="D79" s="123">
        <f>D45*G4</f>
        <v>13007.018181818181</v>
      </c>
      <c r="E79" s="155">
        <f>B79+C79+D79</f>
        <v>32672.127272727274</v>
      </c>
      <c r="F79" s="123">
        <f>F45*G4</f>
        <v>6064.5818181818186</v>
      </c>
      <c r="G79" s="155">
        <f>G45*G4</f>
        <v>1436.8581818181815</v>
      </c>
      <c r="H79" s="123">
        <f>H45*G4</f>
        <v>21887.945454545454</v>
      </c>
      <c r="I79" s="155">
        <f>I45*G4</f>
        <v>48995.88</v>
      </c>
      <c r="J79" s="123">
        <f>SUM(F79:I79)</f>
        <v>78385.265454545442</v>
      </c>
      <c r="K79" s="70">
        <f>J79+E79</f>
        <v>111057.39272727272</v>
      </c>
      <c r="L79" s="239">
        <f>+K79/K36</f>
        <v>0.3790484068646463</v>
      </c>
      <c r="M79" s="234"/>
    </row>
    <row r="80" spans="1:15" hidden="1" x14ac:dyDescent="0.25">
      <c r="A80" s="92" t="s">
        <v>85</v>
      </c>
      <c r="B80" s="128">
        <f>B37*G4</f>
        <v>16372.363636363636</v>
      </c>
      <c r="C80" s="60">
        <f>C46*G4</f>
        <v>704.82545454545448</v>
      </c>
      <c r="D80" s="60">
        <f>D46*G4</f>
        <v>1527.4363636363637</v>
      </c>
      <c r="E80" s="60">
        <f>SUM(B80:D80)</f>
        <v>18604.625454545454</v>
      </c>
      <c r="F80" s="60">
        <f>F46*G4</f>
        <v>2569.8872727272724</v>
      </c>
      <c r="G80" s="247">
        <f>4*3*160</f>
        <v>1920</v>
      </c>
      <c r="H80" s="60">
        <f>H46*G4</f>
        <v>2.6945454545454544</v>
      </c>
      <c r="I80" s="60">
        <f>I46*G4</f>
        <v>2349.4363636363637</v>
      </c>
      <c r="J80" s="244">
        <f>SUM(F80:I80)</f>
        <v>6842.0181818181809</v>
      </c>
      <c r="K80" s="70">
        <f>J80+E80</f>
        <v>25446.643636363635</v>
      </c>
      <c r="L80" s="239">
        <f>+K80/K37</f>
        <v>0.88482365994518708</v>
      </c>
      <c r="M80" s="234"/>
      <c r="N80" s="94"/>
      <c r="O80" s="94"/>
    </row>
    <row r="81" spans="1:17" hidden="1" x14ac:dyDescent="0.25">
      <c r="A81" s="92" t="s">
        <v>86</v>
      </c>
      <c r="B81" s="60">
        <f>B38*G4</f>
        <v>688.36363636363626</v>
      </c>
      <c r="C81" s="60">
        <f>C47*G4</f>
        <v>25173.556363636362</v>
      </c>
      <c r="D81" s="60">
        <f>D47*G4</f>
        <v>8550.687272727273</v>
      </c>
      <c r="E81" s="60">
        <f>SUM(B81:D81)</f>
        <v>34412.607272727269</v>
      </c>
      <c r="F81" s="60">
        <f>F47*G4</f>
        <v>2108.4872727272727</v>
      </c>
      <c r="G81" s="246">
        <v>85773</v>
      </c>
      <c r="H81" s="60">
        <f>H47*G4+2000</f>
        <v>16470.069090909092</v>
      </c>
      <c r="I81" s="60">
        <f>I47*G4</f>
        <v>11454.076363636363</v>
      </c>
      <c r="J81" s="244">
        <f>SUM(F81:I81)</f>
        <v>115805.63272727272</v>
      </c>
      <c r="K81" s="70">
        <f>J81+E81</f>
        <v>150218.23999999999</v>
      </c>
      <c r="L81" s="239">
        <f>+K81/K38</f>
        <v>1.8002929015711699</v>
      </c>
      <c r="M81" s="234"/>
      <c r="P81" s="94"/>
      <c r="Q81" s="94"/>
    </row>
    <row r="82" spans="1:17" hidden="1" x14ac:dyDescent="0.25">
      <c r="A82" s="92" t="s">
        <v>87</v>
      </c>
      <c r="B82" s="60">
        <f>B39*G4</f>
        <v>2753.454545454545</v>
      </c>
      <c r="C82" s="128">
        <f>C48*G4+1000</f>
        <v>8807.9090909090846</v>
      </c>
      <c r="D82" s="128">
        <f>D48*G4</f>
        <v>3235.1236363636349</v>
      </c>
      <c r="E82" s="128">
        <f>SUM(B82:D82)</f>
        <v>14796.487272727263</v>
      </c>
      <c r="F82" s="128">
        <f>F48*G4</f>
        <v>957.61090909090842</v>
      </c>
      <c r="G82" s="128">
        <f>G48*G4</f>
        <v>186.53454545454545</v>
      </c>
      <c r="H82" s="245">
        <f>H48*G4+5000</f>
        <v>8479.2363636363552</v>
      </c>
      <c r="I82" s="128">
        <f>I48*G4</f>
        <v>8071.9963636363645</v>
      </c>
      <c r="J82" s="244">
        <f>SUM(F82:I82)</f>
        <v>17695.378181818174</v>
      </c>
      <c r="K82" s="70">
        <f>J82+E82</f>
        <v>32491.865454545437</v>
      </c>
      <c r="L82" s="239">
        <f>+K82/K39</f>
        <v>0.59316620944092302</v>
      </c>
      <c r="M82" s="234"/>
      <c r="P82" s="94"/>
    </row>
    <row r="83" spans="1:17" ht="15.75" hidden="1" thickBot="1" x14ac:dyDescent="0.3">
      <c r="A83" s="149" t="s">
        <v>99</v>
      </c>
      <c r="B83" s="242">
        <f t="shared" ref="B83:I83" si="11">SUM(B79:B82)</f>
        <v>32056.363636363636</v>
      </c>
      <c r="C83" s="243">
        <f t="shared" si="11"/>
        <v>42109.218181818171</v>
      </c>
      <c r="D83" s="243">
        <f t="shared" si="11"/>
        <v>26320.26545454545</v>
      </c>
      <c r="E83" s="242">
        <f t="shared" si="11"/>
        <v>100485.84727272726</v>
      </c>
      <c r="F83" s="242">
        <f t="shared" si="11"/>
        <v>11700.567272727272</v>
      </c>
      <c r="G83" s="242">
        <f t="shared" si="11"/>
        <v>89316.392727272731</v>
      </c>
      <c r="H83" s="242">
        <f t="shared" si="11"/>
        <v>46839.94545454545</v>
      </c>
      <c r="I83" s="242">
        <f t="shared" si="11"/>
        <v>70871.389090909084</v>
      </c>
      <c r="J83" s="241">
        <f>SUM(F83:I83)</f>
        <v>218728.29454545456</v>
      </c>
      <c r="K83" s="240">
        <f>J83+E83</f>
        <v>319214.14181818184</v>
      </c>
      <c r="L83" s="239"/>
      <c r="M83" s="234"/>
      <c r="P83" s="94"/>
    </row>
    <row r="84" spans="1:17" hidden="1" x14ac:dyDescent="0.25">
      <c r="A84" s="238" t="s">
        <v>101</v>
      </c>
      <c r="B84" s="541" t="s">
        <v>73</v>
      </c>
      <c r="C84" s="541"/>
      <c r="D84" s="541"/>
      <c r="E84" s="541"/>
      <c r="F84" s="541" t="s">
        <v>74</v>
      </c>
      <c r="G84" s="541"/>
      <c r="H84" s="541"/>
      <c r="I84" s="541"/>
      <c r="J84" s="541"/>
      <c r="K84" s="544"/>
      <c r="L84" s="140"/>
      <c r="M84" s="1"/>
    </row>
    <row r="85" spans="1:17" hidden="1" x14ac:dyDescent="0.25">
      <c r="A85" s="92" t="s">
        <v>84</v>
      </c>
      <c r="B85" s="59" t="e">
        <f>#REF!-B79</f>
        <v>#REF!</v>
      </c>
      <c r="C85" s="59">
        <f t="shared" ref="C85:J89" si="12">C36-C79</f>
        <v>14306.072727272727</v>
      </c>
      <c r="D85" s="61">
        <f t="shared" si="12"/>
        <v>34935.981818181819</v>
      </c>
      <c r="E85" s="61">
        <f t="shared" si="12"/>
        <v>48221.872727272726</v>
      </c>
      <c r="F85" s="61">
        <f t="shared" si="12"/>
        <v>13454.418181818182</v>
      </c>
      <c r="G85" s="61">
        <f t="shared" si="12"/>
        <v>1762.1418181818185</v>
      </c>
      <c r="H85" s="61">
        <f t="shared" si="12"/>
        <v>23159.054545454546</v>
      </c>
      <c r="I85" s="61">
        <f t="shared" si="12"/>
        <v>95335.12</v>
      </c>
      <c r="J85" s="59">
        <f t="shared" si="12"/>
        <v>133710.73454545456</v>
      </c>
      <c r="K85" s="70">
        <f>J85+E85</f>
        <v>181932.6072727273</v>
      </c>
      <c r="L85" s="140"/>
      <c r="M85" s="1"/>
    </row>
    <row r="86" spans="1:17" hidden="1" x14ac:dyDescent="0.25">
      <c r="A86" s="92" t="s">
        <v>85</v>
      </c>
      <c r="B86" s="60" t="e">
        <f>#REF!-B80</f>
        <v>#REF!</v>
      </c>
      <c r="C86" s="60">
        <f t="shared" si="12"/>
        <v>1315.1745454545455</v>
      </c>
      <c r="D86" s="60">
        <f t="shared" si="12"/>
        <v>-994.43636363636369</v>
      </c>
      <c r="E86" s="60">
        <f t="shared" si="12"/>
        <v>-1043.625454545454</v>
      </c>
      <c r="F86" s="60">
        <f t="shared" si="12"/>
        <v>2945.1127272727276</v>
      </c>
      <c r="G86" s="60">
        <f t="shared" si="12"/>
        <v>-1917</v>
      </c>
      <c r="H86" s="60">
        <f t="shared" si="12"/>
        <v>549.3054545454545</v>
      </c>
      <c r="I86" s="60">
        <f t="shared" si="12"/>
        <v>2778.5636363636363</v>
      </c>
      <c r="J86" s="60">
        <f t="shared" si="12"/>
        <v>4355.9818181818191</v>
      </c>
      <c r="K86" s="70">
        <f>J86+E86</f>
        <v>3312.3563636363651</v>
      </c>
      <c r="L86" s="140"/>
      <c r="M86" s="1"/>
    </row>
    <row r="87" spans="1:17" hidden="1" x14ac:dyDescent="0.25">
      <c r="A87" s="92" t="s">
        <v>86</v>
      </c>
      <c r="B87" s="60" t="e">
        <f>#REF!-B81</f>
        <v>#REF!</v>
      </c>
      <c r="C87" s="60">
        <f t="shared" si="12"/>
        <v>-262.55636363636222</v>
      </c>
      <c r="D87" s="60">
        <f t="shared" si="12"/>
        <v>-4227.687272727273</v>
      </c>
      <c r="E87" s="60">
        <f t="shared" si="12"/>
        <v>-4547.6072727272694</v>
      </c>
      <c r="F87" s="60">
        <f t="shared" si="12"/>
        <v>-539.48727272727274</v>
      </c>
      <c r="G87" s="60">
        <f t="shared" si="12"/>
        <v>-85408</v>
      </c>
      <c r="H87" s="60">
        <f t="shared" si="12"/>
        <v>17317.930909090908</v>
      </c>
      <c r="I87" s="60">
        <f t="shared" si="12"/>
        <v>6399.9236363636373</v>
      </c>
      <c r="J87" s="60">
        <f t="shared" si="12"/>
        <v>-62229.632727272721</v>
      </c>
      <c r="K87" s="70">
        <f>J87+E87</f>
        <v>-66777.239999999991</v>
      </c>
      <c r="L87" s="140"/>
      <c r="M87" s="1"/>
    </row>
    <row r="88" spans="1:17" hidden="1" x14ac:dyDescent="0.25">
      <c r="A88" s="92" t="s">
        <v>87</v>
      </c>
      <c r="B88" s="60" t="e">
        <f>#REF!-B82</f>
        <v>#REF!</v>
      </c>
      <c r="C88" s="237">
        <f t="shared" si="12"/>
        <v>11144.090909090915</v>
      </c>
      <c r="D88" s="60">
        <f t="shared" si="12"/>
        <v>13389.876363636366</v>
      </c>
      <c r="E88" s="60">
        <f t="shared" si="12"/>
        <v>24304.512727272737</v>
      </c>
      <c r="F88" s="60">
        <f t="shared" si="12"/>
        <v>1224.3890909090915</v>
      </c>
      <c r="G88" s="60">
        <f t="shared" si="12"/>
        <v>74.465454545454548</v>
      </c>
      <c r="H88" s="60">
        <f t="shared" si="12"/>
        <v>-4512.2363636363552</v>
      </c>
      <c r="I88" s="60">
        <f t="shared" si="12"/>
        <v>1194.0036363636355</v>
      </c>
      <c r="J88" s="60">
        <f t="shared" si="12"/>
        <v>-2019.3781818181742</v>
      </c>
      <c r="K88" s="70">
        <f>J88+E88</f>
        <v>22285.134545454563</v>
      </c>
      <c r="L88" s="140"/>
      <c r="M88" s="1"/>
    </row>
    <row r="89" spans="1:17" hidden="1" x14ac:dyDescent="0.25">
      <c r="A89" s="92" t="s">
        <v>100</v>
      </c>
      <c r="B89" s="59" t="e">
        <f>#REF!-B83</f>
        <v>#REF!</v>
      </c>
      <c r="C89" s="59">
        <f t="shared" si="12"/>
        <v>26502.781818181829</v>
      </c>
      <c r="D89" s="59">
        <f t="shared" si="12"/>
        <v>43103.73454545455</v>
      </c>
      <c r="E89" s="59">
        <f t="shared" si="12"/>
        <v>66935.15272727274</v>
      </c>
      <c r="F89" s="59">
        <f t="shared" si="12"/>
        <v>17084.432727272728</v>
      </c>
      <c r="G89" s="59">
        <f t="shared" si="12"/>
        <v>-85488.392727272731</v>
      </c>
      <c r="H89" s="59">
        <f t="shared" si="12"/>
        <v>36514.05454545455</v>
      </c>
      <c r="I89" s="59">
        <f t="shared" si="12"/>
        <v>105707.61090909092</v>
      </c>
      <c r="J89" s="59">
        <f t="shared" si="12"/>
        <v>73817.705454545445</v>
      </c>
      <c r="K89" s="70">
        <f>J89+E89</f>
        <v>140752.85818181818</v>
      </c>
      <c r="L89" s="140"/>
      <c r="M89" s="1"/>
    </row>
    <row r="90" spans="1:17" ht="3.75" hidden="1" customHeight="1" x14ac:dyDescent="0.25">
      <c r="A90" s="92"/>
      <c r="B90" s="1"/>
      <c r="C90" s="1"/>
      <c r="D90" s="1"/>
      <c r="E90" s="1"/>
      <c r="F90" s="1"/>
      <c r="G90" s="1"/>
      <c r="H90" s="1"/>
      <c r="I90" s="1"/>
      <c r="J90" s="1"/>
      <c r="K90" s="73"/>
      <c r="L90" s="140"/>
      <c r="M90" s="1"/>
    </row>
    <row r="91" spans="1:17" hidden="1" x14ac:dyDescent="0.25">
      <c r="A91" s="92"/>
      <c r="B91" s="1"/>
      <c r="C91" s="1"/>
      <c r="D91" s="2"/>
      <c r="E91" s="2"/>
      <c r="F91" s="1"/>
      <c r="G91" s="1"/>
      <c r="H91" s="1"/>
      <c r="I91" s="1"/>
      <c r="J91" s="1"/>
      <c r="K91" s="106"/>
      <c r="L91" s="140"/>
      <c r="M91" s="1"/>
    </row>
    <row r="92" spans="1:17" ht="15.75" hidden="1" thickBot="1" x14ac:dyDescent="0.3">
      <c r="A92" s="149"/>
      <c r="B92" s="236"/>
      <c r="C92" s="236"/>
      <c r="D92" s="236"/>
      <c r="E92" s="236"/>
      <c r="F92" s="236"/>
      <c r="G92" s="236"/>
      <c r="H92" s="236"/>
      <c r="I92" s="236" t="s">
        <v>99</v>
      </c>
      <c r="J92" s="236"/>
      <c r="K92" s="174">
        <f>K83+K91</f>
        <v>319214.14181818184</v>
      </c>
      <c r="L92" s="235">
        <f>+K92/K40</f>
        <v>0.69399357305672327</v>
      </c>
      <c r="M92" s="234"/>
    </row>
    <row r="93" spans="1:17" hidden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7" hidden="1" x14ac:dyDescent="0.25">
      <c r="A94" s="175" t="s">
        <v>98</v>
      </c>
      <c r="K94" s="94"/>
    </row>
    <row r="95" spans="1:17" hidden="1" x14ac:dyDescent="0.25">
      <c r="A95" s="233" t="s">
        <v>97</v>
      </c>
      <c r="H95" s="232"/>
      <c r="K95" s="94"/>
    </row>
    <row r="96" spans="1:17" hidden="1" x14ac:dyDescent="0.25">
      <c r="A96" s="231" t="s">
        <v>96</v>
      </c>
      <c r="B96" s="231"/>
      <c r="C96" s="231"/>
    </row>
    <row r="97" spans="1:11" hidden="1" x14ac:dyDescent="0.25">
      <c r="A97" s="230" t="s">
        <v>95</v>
      </c>
      <c r="B97" s="230"/>
      <c r="C97" s="230"/>
      <c r="K97" s="94"/>
    </row>
    <row r="98" spans="1:11" hidden="1" x14ac:dyDescent="0.25">
      <c r="A98" s="229" t="s">
        <v>94</v>
      </c>
      <c r="B98" s="229"/>
      <c r="C98" s="229"/>
      <c r="D98" s="229"/>
    </row>
    <row r="99" spans="1:11" hidden="1" x14ac:dyDescent="0.25">
      <c r="A99" s="107" t="s">
        <v>93</v>
      </c>
    </row>
    <row r="100" spans="1:11" hidden="1" x14ac:dyDescent="0.25"/>
  </sheetData>
  <mergeCells count="13">
    <mergeCell ref="B84:E84"/>
    <mergeCell ref="F43:K43"/>
    <mergeCell ref="F77:K77"/>
    <mergeCell ref="F84:K84"/>
    <mergeCell ref="H30:L30"/>
    <mergeCell ref="B34:E34"/>
    <mergeCell ref="F34:K34"/>
    <mergeCell ref="B43:E43"/>
    <mergeCell ref="B77:E77"/>
    <mergeCell ref="B51:E51"/>
    <mergeCell ref="F51:K51"/>
    <mergeCell ref="B59:E59"/>
    <mergeCell ref="F59:K59"/>
  </mergeCells>
  <pageMargins left="0.25" right="0.25" top="0.25" bottom="0.25" header="0.3" footer="0.3"/>
  <pageSetup scale="77" orientation="landscape" r:id="rId1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D142"/>
  <sheetViews>
    <sheetView zoomScale="90" zoomScaleNormal="90" workbookViewId="0">
      <pane xSplit="7" ySplit="3" topLeftCell="BK4" activePane="bottomRight" state="frozenSplit"/>
      <selection pane="topRight" activeCell="H1" sqref="H1"/>
      <selection pane="bottomLeft" activeCell="A4" sqref="A4"/>
      <selection pane="bottomRight" activeCell="BL1" sqref="BL1"/>
    </sheetView>
  </sheetViews>
  <sheetFormatPr defaultRowHeight="15" x14ac:dyDescent="0.25"/>
  <cols>
    <col min="1" max="6" width="1.5703125" style="508" customWidth="1"/>
    <col min="7" max="7" width="38.7109375" style="508" customWidth="1"/>
    <col min="8" max="8" width="13.140625" style="509" customWidth="1"/>
    <col min="9" max="9" width="2.28515625" style="509" customWidth="1"/>
    <col min="10" max="10" width="12" style="509" customWidth="1"/>
    <col min="11" max="11" width="3" style="510" customWidth="1"/>
    <col min="12" max="12" width="12.28515625" style="509" customWidth="1"/>
    <col min="13" max="13" width="2.28515625" style="509" customWidth="1"/>
    <col min="14" max="14" width="12.7109375" style="509" customWidth="1"/>
    <col min="15" max="15" width="3.42578125" style="510" customWidth="1"/>
    <col min="16" max="16" width="10" style="509" customWidth="1"/>
    <col min="17" max="17" width="2.28515625" style="509" customWidth="1"/>
    <col min="18" max="18" width="10.5703125" style="509" customWidth="1"/>
    <col min="19" max="19" width="2.28515625" style="509" customWidth="1"/>
    <col min="20" max="20" width="11.140625" style="509" customWidth="1"/>
    <col min="21" max="21" width="1.5703125" style="509" customWidth="1"/>
    <col min="22" max="22" width="11" style="509" customWidth="1"/>
    <col min="23" max="23" width="2.5703125" style="511" customWidth="1"/>
    <col min="24" max="24" width="10" style="509" customWidth="1"/>
    <col min="25" max="25" width="1.28515625" style="509" customWidth="1"/>
    <col min="26" max="26" width="11.28515625" style="509" customWidth="1"/>
    <col min="27" max="27" width="2.28515625" style="509" customWidth="1"/>
    <col min="28" max="28" width="10" style="509" customWidth="1"/>
    <col min="29" max="29" width="2.28515625" style="509" customWidth="1"/>
    <col min="30" max="30" width="10.85546875" style="509" customWidth="1"/>
    <col min="31" max="35" width="2.28515625" style="511" customWidth="1"/>
    <col min="36" max="36" width="10" style="509" bestFit="1" customWidth="1"/>
    <col min="37" max="37" width="2.28515625" style="509" customWidth="1"/>
    <col min="38" max="38" width="11.85546875" style="509" customWidth="1"/>
    <col min="39" max="39" width="4.5703125" style="510" customWidth="1"/>
    <col min="40" max="40" width="11" style="509" customWidth="1"/>
    <col min="41" max="41" width="2.28515625" style="509" customWidth="1"/>
    <col min="42" max="42" width="12.42578125" style="509" customWidth="1"/>
    <col min="43" max="43" width="3.42578125" style="512" customWidth="1"/>
    <col min="44" max="44" width="10.7109375" style="509" customWidth="1"/>
    <col min="45" max="45" width="2.28515625" style="509" customWidth="1"/>
    <col min="46" max="46" width="10.42578125" style="509" customWidth="1"/>
    <col min="47" max="47" width="2.85546875" style="368" customWidth="1"/>
    <col min="48" max="48" width="10" style="509" customWidth="1"/>
    <col min="49" max="49" width="2.28515625" style="509" customWidth="1"/>
    <col min="50" max="50" width="9.7109375" style="509" customWidth="1"/>
    <col min="51" max="51" width="2.85546875" style="368" customWidth="1"/>
    <col min="52" max="52" width="10.5703125" style="509" customWidth="1"/>
    <col min="53" max="53" width="2.28515625" style="509" customWidth="1"/>
    <col min="54" max="54" width="9.7109375" style="509" customWidth="1"/>
    <col min="55" max="55" width="2.28515625" style="509" hidden="1" customWidth="1"/>
    <col min="56" max="56" width="10.5703125" style="509" hidden="1" customWidth="1"/>
    <col min="57" max="57" width="2.28515625" style="509" hidden="1" customWidth="1"/>
    <col min="58" max="58" width="7.42578125" style="509" hidden="1" customWidth="1"/>
    <col min="59" max="59" width="2.28515625" style="509" customWidth="1"/>
    <col min="60" max="60" width="10" style="509" bestFit="1" customWidth="1"/>
    <col min="61" max="61" width="2.28515625" style="509" customWidth="1"/>
    <col min="62" max="62" width="10.140625" style="509" customWidth="1"/>
    <col min="63" max="63" width="4.5703125" style="475" customWidth="1"/>
    <col min="64" max="64" width="11.28515625" style="509" customWidth="1"/>
    <col min="65" max="65" width="2.28515625" style="509" customWidth="1"/>
    <col min="66" max="66" width="10.7109375" style="509" customWidth="1"/>
    <col min="67" max="67" width="4.28515625" style="475" customWidth="1"/>
    <col min="68" max="68" width="10.42578125" style="509" customWidth="1"/>
    <col min="69" max="69" width="2.28515625" style="509" customWidth="1"/>
    <col min="70" max="70" width="12.28515625" style="509" customWidth="1"/>
    <col min="71" max="71" width="2.28515625" style="475" customWidth="1"/>
    <col min="72" max="72" width="11.28515625" style="509" customWidth="1"/>
    <col min="73" max="73" width="2.28515625" style="509" customWidth="1"/>
    <col min="74" max="74" width="12.140625" style="509" customWidth="1"/>
    <col min="75" max="75" width="2.85546875" style="368" customWidth="1"/>
    <col min="76" max="76" width="11.5703125" style="509" customWidth="1"/>
    <col min="77" max="77" width="2.28515625" style="509" customWidth="1"/>
    <col min="78" max="78" width="12" style="509" customWidth="1"/>
    <col min="79" max="79" width="2.28515625" style="509" customWidth="1"/>
    <col min="80" max="80" width="11.42578125" style="509" customWidth="1"/>
    <col min="81" max="81" width="2.28515625" style="509" customWidth="1"/>
    <col min="82" max="82" width="11.85546875" style="509" bestFit="1" customWidth="1"/>
    <col min="83" max="83" width="2.28515625" style="509" customWidth="1"/>
    <col min="84" max="84" width="10" style="509" hidden="1" customWidth="1"/>
    <col min="85" max="85" width="2.28515625" style="509" hidden="1" customWidth="1"/>
    <col min="86" max="86" width="6.5703125" style="509" hidden="1" customWidth="1"/>
    <col min="87" max="87" width="2.28515625" style="509" hidden="1" customWidth="1"/>
    <col min="88" max="88" width="10" style="509" hidden="1" customWidth="1"/>
    <col min="89" max="89" width="2.28515625" style="509" hidden="1" customWidth="1"/>
    <col min="90" max="90" width="6.5703125" style="509" hidden="1" customWidth="1"/>
    <col min="91" max="91" width="2.28515625" style="509" hidden="1" customWidth="1"/>
    <col min="92" max="92" width="10" style="509" hidden="1" customWidth="1"/>
    <col min="93" max="93" width="2.28515625" style="509" hidden="1" customWidth="1"/>
    <col min="94" max="94" width="6.5703125" style="509" hidden="1" customWidth="1"/>
    <col min="95" max="95" width="2.28515625" style="509" hidden="1" customWidth="1"/>
    <col min="96" max="96" width="10" style="509" hidden="1" customWidth="1"/>
    <col min="97" max="97" width="2.28515625" style="509" hidden="1" customWidth="1"/>
    <col min="98" max="98" width="6.5703125" style="509" hidden="1" customWidth="1"/>
    <col min="99" max="99" width="2.28515625" style="509" hidden="1" customWidth="1"/>
    <col min="100" max="100" width="10" style="509" hidden="1" customWidth="1"/>
    <col min="101" max="101" width="2.28515625" style="509" hidden="1" customWidth="1"/>
    <col min="102" max="102" width="6.5703125" style="509" hidden="1" customWidth="1"/>
    <col min="103" max="103" width="9" style="368" hidden="1" customWidth="1"/>
    <col min="104" max="104" width="10" style="509" customWidth="1"/>
    <col min="105" max="105" width="2.28515625" style="509" customWidth="1"/>
    <col min="106" max="106" width="13.42578125" style="509" customWidth="1"/>
    <col min="107" max="107" width="11.5703125" style="3" customWidth="1"/>
    <col min="108" max="108" width="18.42578125" style="3" bestFit="1" customWidth="1"/>
    <col min="109" max="16384" width="9.140625" style="3"/>
  </cols>
  <sheetData>
    <row r="1" spans="1:107" x14ac:dyDescent="0.25">
      <c r="A1" s="496"/>
      <c r="B1" s="496"/>
      <c r="C1" s="496"/>
      <c r="D1" s="496"/>
      <c r="E1" s="496"/>
      <c r="F1" s="496"/>
      <c r="G1" s="496"/>
      <c r="H1" s="311" t="s">
        <v>121</v>
      </c>
      <c r="I1" s="312"/>
      <c r="J1" s="312"/>
      <c r="K1" s="313"/>
      <c r="L1" s="311" t="s">
        <v>122</v>
      </c>
      <c r="M1" s="312"/>
      <c r="N1" s="312"/>
      <c r="O1" s="313"/>
      <c r="P1" s="312"/>
      <c r="Q1" s="312"/>
      <c r="R1" s="312"/>
      <c r="S1" s="313"/>
      <c r="T1" s="312"/>
      <c r="U1" s="312"/>
      <c r="V1" s="312"/>
      <c r="W1" s="313"/>
      <c r="X1" s="311" t="s">
        <v>449</v>
      </c>
      <c r="Y1" s="312"/>
      <c r="Z1" s="312"/>
      <c r="AA1" s="313"/>
      <c r="AB1" s="311" t="s">
        <v>450</v>
      </c>
      <c r="AC1" s="312"/>
      <c r="AD1" s="312"/>
      <c r="AE1" s="313"/>
      <c r="AF1" s="311" t="s">
        <v>501</v>
      </c>
      <c r="AG1" s="312"/>
      <c r="AH1" s="312"/>
      <c r="AI1" s="313"/>
      <c r="AJ1" s="311" t="s">
        <v>123</v>
      </c>
      <c r="AK1" s="312"/>
      <c r="AL1" s="312"/>
      <c r="AM1" s="313"/>
      <c r="AN1" s="311" t="s">
        <v>124</v>
      </c>
      <c r="AO1" s="312"/>
      <c r="AP1" s="312"/>
      <c r="AQ1" s="313"/>
      <c r="AR1" s="311" t="s">
        <v>125</v>
      </c>
      <c r="AS1" s="312"/>
      <c r="AT1" s="312"/>
      <c r="AU1" s="313"/>
      <c r="AV1" s="311" t="s">
        <v>126</v>
      </c>
      <c r="AW1" s="312"/>
      <c r="AX1" s="312"/>
      <c r="AY1" s="313"/>
      <c r="AZ1" s="311" t="s">
        <v>127</v>
      </c>
      <c r="BA1" s="312"/>
      <c r="BB1" s="312"/>
      <c r="BC1" s="313"/>
      <c r="BD1" s="311" t="s">
        <v>451</v>
      </c>
      <c r="BE1" s="312"/>
      <c r="BF1" s="312"/>
      <c r="BG1" s="313"/>
      <c r="BH1" s="311" t="s">
        <v>128</v>
      </c>
      <c r="BI1" s="312"/>
      <c r="BJ1" s="312"/>
      <c r="BK1" s="313"/>
      <c r="BL1" s="311" t="s">
        <v>403</v>
      </c>
      <c r="BM1" s="312"/>
      <c r="BN1" s="312"/>
      <c r="BO1" s="313"/>
      <c r="BP1" s="311" t="s">
        <v>452</v>
      </c>
      <c r="BQ1" s="312"/>
      <c r="BR1" s="312"/>
      <c r="BS1" s="313"/>
      <c r="BT1" s="311" t="s">
        <v>129</v>
      </c>
      <c r="BU1" s="312"/>
      <c r="BV1" s="312"/>
      <c r="BW1" s="313"/>
      <c r="BX1" s="311" t="s">
        <v>130</v>
      </c>
      <c r="BY1" s="312"/>
      <c r="BZ1" s="312"/>
      <c r="CA1" s="313"/>
      <c r="CB1" s="312"/>
      <c r="CC1" s="312"/>
      <c r="CD1" s="312"/>
      <c r="CE1" s="313"/>
      <c r="CF1" s="311" t="s">
        <v>131</v>
      </c>
      <c r="CG1" s="312"/>
      <c r="CH1" s="312"/>
      <c r="CI1" s="313"/>
      <c r="CJ1" s="311" t="s">
        <v>132</v>
      </c>
      <c r="CK1" s="312"/>
      <c r="CL1" s="312"/>
      <c r="CM1" s="313"/>
      <c r="CN1" s="311" t="s">
        <v>133</v>
      </c>
      <c r="CO1" s="312"/>
      <c r="CP1" s="312"/>
      <c r="CQ1" s="313"/>
      <c r="CR1" s="312"/>
      <c r="CS1" s="312"/>
      <c r="CT1" s="312"/>
      <c r="CU1" s="313"/>
      <c r="CV1" s="312"/>
      <c r="CW1" s="312"/>
      <c r="CX1" s="312"/>
      <c r="CY1" s="313"/>
      <c r="CZ1" s="312"/>
      <c r="DA1" s="312"/>
      <c r="DB1" s="312"/>
    </row>
    <row r="2" spans="1:107" ht="15.75" thickBot="1" x14ac:dyDescent="0.3">
      <c r="A2" s="496"/>
      <c r="B2" s="496"/>
      <c r="C2" s="496"/>
      <c r="D2" s="496"/>
      <c r="E2" s="496"/>
      <c r="F2" s="496"/>
      <c r="G2" s="496"/>
      <c r="H2" s="311" t="s">
        <v>134</v>
      </c>
      <c r="I2" s="314"/>
      <c r="J2" s="312"/>
      <c r="K2" s="313"/>
      <c r="L2" s="311" t="s">
        <v>134</v>
      </c>
      <c r="M2" s="314"/>
      <c r="N2" s="312"/>
      <c r="O2" s="313"/>
      <c r="P2" s="311" t="s">
        <v>135</v>
      </c>
      <c r="Q2" s="314"/>
      <c r="R2" s="312"/>
      <c r="S2" s="313"/>
      <c r="T2" s="311" t="s">
        <v>136</v>
      </c>
      <c r="U2" s="314"/>
      <c r="V2" s="312"/>
      <c r="W2" s="313"/>
      <c r="X2" s="311" t="s">
        <v>137</v>
      </c>
      <c r="Y2" s="314"/>
      <c r="Z2" s="312"/>
      <c r="AA2" s="313"/>
      <c r="AB2" s="311" t="s">
        <v>137</v>
      </c>
      <c r="AC2" s="314"/>
      <c r="AD2" s="312"/>
      <c r="AE2" s="313"/>
      <c r="AF2" s="311" t="s">
        <v>137</v>
      </c>
      <c r="AG2" s="314"/>
      <c r="AH2" s="312"/>
      <c r="AI2" s="313"/>
      <c r="AJ2" s="311" t="s">
        <v>138</v>
      </c>
      <c r="AK2" s="314"/>
      <c r="AL2" s="312"/>
      <c r="AM2" s="313"/>
      <c r="AN2" s="311" t="s">
        <v>138</v>
      </c>
      <c r="AO2" s="314"/>
      <c r="AP2" s="312"/>
      <c r="AQ2" s="313"/>
      <c r="AR2" s="311" t="s">
        <v>138</v>
      </c>
      <c r="AS2" s="314"/>
      <c r="AT2" s="312"/>
      <c r="AU2" s="313"/>
      <c r="AV2" s="311" t="s">
        <v>139</v>
      </c>
      <c r="AW2" s="314"/>
      <c r="AX2" s="312"/>
      <c r="AY2" s="313"/>
      <c r="AZ2" s="311" t="s">
        <v>139</v>
      </c>
      <c r="BA2" s="314"/>
      <c r="BB2" s="312"/>
      <c r="BC2" s="313"/>
      <c r="BD2" s="311" t="s">
        <v>139</v>
      </c>
      <c r="BE2" s="314"/>
      <c r="BF2" s="312"/>
      <c r="BG2" s="313"/>
      <c r="BH2" s="311" t="s">
        <v>138</v>
      </c>
      <c r="BI2" s="314"/>
      <c r="BJ2" s="312"/>
      <c r="BK2" s="313"/>
      <c r="BL2" s="311" t="s">
        <v>140</v>
      </c>
      <c r="BM2" s="314"/>
      <c r="BN2" s="312"/>
      <c r="BO2" s="313"/>
      <c r="BP2" s="311" t="s">
        <v>140</v>
      </c>
      <c r="BQ2" s="314"/>
      <c r="BR2" s="312"/>
      <c r="BS2" s="313"/>
      <c r="BT2" s="311" t="s">
        <v>140</v>
      </c>
      <c r="BU2" s="314"/>
      <c r="BV2" s="312"/>
      <c r="BW2" s="313"/>
      <c r="BX2" s="311" t="s">
        <v>138</v>
      </c>
      <c r="BY2" s="314"/>
      <c r="BZ2" s="312"/>
      <c r="CA2" s="313"/>
      <c r="CB2" s="311" t="s">
        <v>141</v>
      </c>
      <c r="CC2" s="314"/>
      <c r="CD2" s="312"/>
      <c r="CE2" s="313"/>
      <c r="CF2" s="311" t="s">
        <v>142</v>
      </c>
      <c r="CG2" s="314"/>
      <c r="CH2" s="312"/>
      <c r="CI2" s="313"/>
      <c r="CJ2" s="311" t="s">
        <v>142</v>
      </c>
      <c r="CK2" s="314"/>
      <c r="CL2" s="312"/>
      <c r="CM2" s="313"/>
      <c r="CN2" s="311" t="s">
        <v>142</v>
      </c>
      <c r="CO2" s="314"/>
      <c r="CP2" s="312"/>
      <c r="CQ2" s="313"/>
      <c r="CR2" s="311" t="s">
        <v>143</v>
      </c>
      <c r="CS2" s="314"/>
      <c r="CT2" s="312"/>
      <c r="CU2" s="313"/>
      <c r="CV2" s="311" t="s">
        <v>144</v>
      </c>
      <c r="CW2" s="314"/>
      <c r="CX2" s="312"/>
      <c r="CY2" s="313"/>
      <c r="CZ2" s="311" t="s">
        <v>145</v>
      </c>
      <c r="DA2" s="314"/>
      <c r="DB2" s="312"/>
      <c r="DC2" s="3" t="s">
        <v>464</v>
      </c>
    </row>
    <row r="3" spans="1:107" s="506" customFormat="1" ht="16.5" thickTop="1" thickBot="1" x14ac:dyDescent="0.3">
      <c r="A3" s="493"/>
      <c r="B3" s="493"/>
      <c r="C3" s="493"/>
      <c r="D3" s="493"/>
      <c r="E3" s="493"/>
      <c r="F3" s="493"/>
      <c r="G3" s="493"/>
      <c r="H3" s="316" t="s">
        <v>493</v>
      </c>
      <c r="I3" s="317"/>
      <c r="J3" s="316" t="s">
        <v>33</v>
      </c>
      <c r="K3" s="317"/>
      <c r="L3" s="316" t="s">
        <v>493</v>
      </c>
      <c r="M3" s="317"/>
      <c r="N3" s="316" t="s">
        <v>33</v>
      </c>
      <c r="O3" s="317"/>
      <c r="P3" s="316" t="s">
        <v>493</v>
      </c>
      <c r="Q3" s="317"/>
      <c r="R3" s="316" t="s">
        <v>33</v>
      </c>
      <c r="S3" s="317"/>
      <c r="T3" s="316" t="s">
        <v>493</v>
      </c>
      <c r="U3" s="317"/>
      <c r="V3" s="316" t="s">
        <v>33</v>
      </c>
      <c r="W3" s="317"/>
      <c r="X3" s="316" t="s">
        <v>493</v>
      </c>
      <c r="Y3" s="317"/>
      <c r="Z3" s="316" t="s">
        <v>33</v>
      </c>
      <c r="AA3" s="317"/>
      <c r="AB3" s="316" t="s">
        <v>493</v>
      </c>
      <c r="AC3" s="317"/>
      <c r="AD3" s="316" t="s">
        <v>33</v>
      </c>
      <c r="AE3" s="317"/>
      <c r="AF3" s="316" t="s">
        <v>493</v>
      </c>
      <c r="AG3" s="317"/>
      <c r="AH3" s="316" t="s">
        <v>33</v>
      </c>
      <c r="AI3" s="317"/>
      <c r="AJ3" s="316" t="s">
        <v>493</v>
      </c>
      <c r="AK3" s="317"/>
      <c r="AL3" s="316" t="s">
        <v>33</v>
      </c>
      <c r="AM3" s="317"/>
      <c r="AN3" s="316" t="s">
        <v>493</v>
      </c>
      <c r="AO3" s="317"/>
      <c r="AP3" s="316" t="s">
        <v>33</v>
      </c>
      <c r="AQ3" s="317"/>
      <c r="AR3" s="316" t="s">
        <v>493</v>
      </c>
      <c r="AS3" s="317"/>
      <c r="AT3" s="316" t="s">
        <v>33</v>
      </c>
      <c r="AU3" s="317"/>
      <c r="AV3" s="316" t="s">
        <v>493</v>
      </c>
      <c r="AW3" s="317"/>
      <c r="AX3" s="316" t="s">
        <v>33</v>
      </c>
      <c r="AY3" s="317"/>
      <c r="AZ3" s="316" t="s">
        <v>493</v>
      </c>
      <c r="BA3" s="317"/>
      <c r="BB3" s="316" t="s">
        <v>33</v>
      </c>
      <c r="BC3" s="317"/>
      <c r="BD3" s="316" t="s">
        <v>493</v>
      </c>
      <c r="BE3" s="317"/>
      <c r="BF3" s="316" t="s">
        <v>33</v>
      </c>
      <c r="BG3" s="317"/>
      <c r="BH3" s="316" t="s">
        <v>493</v>
      </c>
      <c r="BI3" s="317"/>
      <c r="BJ3" s="316" t="s">
        <v>33</v>
      </c>
      <c r="BK3" s="317"/>
      <c r="BL3" s="316" t="s">
        <v>493</v>
      </c>
      <c r="BM3" s="317"/>
      <c r="BN3" s="316" t="s">
        <v>33</v>
      </c>
      <c r="BO3" s="317"/>
      <c r="BP3" s="316" t="s">
        <v>493</v>
      </c>
      <c r="BQ3" s="317"/>
      <c r="BR3" s="316" t="s">
        <v>33</v>
      </c>
      <c r="BS3" s="317"/>
      <c r="BT3" s="316" t="s">
        <v>493</v>
      </c>
      <c r="BU3" s="317"/>
      <c r="BV3" s="316" t="s">
        <v>33</v>
      </c>
      <c r="BW3" s="317"/>
      <c r="BX3" s="316" t="s">
        <v>493</v>
      </c>
      <c r="BY3" s="317"/>
      <c r="BZ3" s="316" t="s">
        <v>33</v>
      </c>
      <c r="CA3" s="317"/>
      <c r="CB3" s="316" t="s">
        <v>493</v>
      </c>
      <c r="CC3" s="317"/>
      <c r="CD3" s="316" t="s">
        <v>33</v>
      </c>
      <c r="CE3" s="317"/>
      <c r="CF3" s="316" t="s">
        <v>493</v>
      </c>
      <c r="CG3" s="317"/>
      <c r="CH3" s="316" t="s">
        <v>33</v>
      </c>
      <c r="CI3" s="317"/>
      <c r="CJ3" s="316" t="s">
        <v>493</v>
      </c>
      <c r="CK3" s="317"/>
      <c r="CL3" s="316" t="s">
        <v>33</v>
      </c>
      <c r="CM3" s="317"/>
      <c r="CN3" s="316" t="s">
        <v>493</v>
      </c>
      <c r="CO3" s="317"/>
      <c r="CP3" s="316" t="s">
        <v>33</v>
      </c>
      <c r="CQ3" s="317"/>
      <c r="CR3" s="316" t="s">
        <v>493</v>
      </c>
      <c r="CS3" s="317"/>
      <c r="CT3" s="316" t="s">
        <v>33</v>
      </c>
      <c r="CU3" s="317"/>
      <c r="CV3" s="316" t="s">
        <v>493</v>
      </c>
      <c r="CW3" s="317"/>
      <c r="CX3" s="316" t="s">
        <v>33</v>
      </c>
      <c r="CY3" s="317"/>
      <c r="CZ3" s="316" t="s">
        <v>493</v>
      </c>
      <c r="DA3" s="317"/>
      <c r="DB3" s="316" t="s">
        <v>33</v>
      </c>
    </row>
    <row r="4" spans="1:107" ht="15.75" thickTop="1" x14ac:dyDescent="0.25">
      <c r="A4" s="496"/>
      <c r="B4" s="496" t="s">
        <v>146</v>
      </c>
      <c r="C4" s="496"/>
      <c r="D4" s="496"/>
      <c r="E4" s="496"/>
      <c r="F4" s="496"/>
      <c r="G4" s="496"/>
      <c r="H4" s="499"/>
      <c r="I4" s="319"/>
      <c r="J4" s="499"/>
      <c r="K4" s="319"/>
      <c r="L4" s="499"/>
      <c r="M4" s="319"/>
      <c r="N4" s="499"/>
      <c r="O4" s="319"/>
      <c r="P4" s="499"/>
      <c r="Q4" s="319"/>
      <c r="R4" s="499"/>
      <c r="S4" s="319"/>
      <c r="T4" s="499"/>
      <c r="U4" s="319"/>
      <c r="V4" s="499"/>
      <c r="W4" s="319"/>
      <c r="X4" s="499"/>
      <c r="Y4" s="319"/>
      <c r="Z4" s="499"/>
      <c r="AA4" s="319"/>
      <c r="AB4" s="499"/>
      <c r="AC4" s="319"/>
      <c r="AD4" s="499"/>
      <c r="AE4" s="319"/>
      <c r="AF4" s="499"/>
      <c r="AG4" s="319"/>
      <c r="AH4" s="319"/>
      <c r="AI4" s="319"/>
      <c r="AJ4" s="499"/>
      <c r="AK4" s="319"/>
      <c r="AL4" s="499"/>
      <c r="AM4" s="319"/>
      <c r="AN4" s="499"/>
      <c r="AO4" s="319"/>
      <c r="AP4" s="499"/>
      <c r="AQ4" s="319"/>
      <c r="AR4" s="499"/>
      <c r="AS4" s="319"/>
      <c r="AT4" s="499"/>
      <c r="AU4" s="319"/>
      <c r="AV4" s="499"/>
      <c r="AW4" s="319"/>
      <c r="AX4" s="499"/>
      <c r="AY4" s="319"/>
      <c r="AZ4" s="499"/>
      <c r="BA4" s="319"/>
      <c r="BB4" s="499"/>
      <c r="BC4" s="319"/>
      <c r="BD4" s="499"/>
      <c r="BE4" s="319"/>
      <c r="BF4" s="319"/>
      <c r="BG4" s="319"/>
      <c r="BH4" s="499"/>
      <c r="BI4" s="319"/>
      <c r="BJ4" s="499"/>
      <c r="BK4" s="319"/>
      <c r="BL4" s="499"/>
      <c r="BM4" s="319"/>
      <c r="BN4" s="499"/>
      <c r="BO4" s="319"/>
      <c r="BP4" s="499"/>
      <c r="BQ4" s="319"/>
      <c r="BR4" s="499"/>
      <c r="BS4" s="319"/>
      <c r="BT4" s="499"/>
      <c r="BU4" s="319"/>
      <c r="BV4" s="499"/>
      <c r="BW4" s="319"/>
      <c r="BX4" s="499"/>
      <c r="BY4" s="319"/>
      <c r="BZ4" s="499"/>
      <c r="CA4" s="319"/>
      <c r="CB4" s="499"/>
      <c r="CC4" s="319"/>
      <c r="CD4" s="499"/>
      <c r="CE4" s="319"/>
      <c r="CF4" s="499"/>
      <c r="CG4" s="319"/>
      <c r="CH4" s="319"/>
      <c r="CI4" s="319"/>
      <c r="CJ4" s="499"/>
      <c r="CK4" s="319"/>
      <c r="CL4" s="319"/>
      <c r="CM4" s="319"/>
      <c r="CN4" s="499"/>
      <c r="CO4" s="319"/>
      <c r="CP4" s="319"/>
      <c r="CQ4" s="319"/>
      <c r="CR4" s="499"/>
      <c r="CS4" s="319"/>
      <c r="CT4" s="319"/>
      <c r="CU4" s="319"/>
      <c r="CV4" s="499"/>
      <c r="CW4" s="319"/>
      <c r="CX4" s="499"/>
      <c r="CY4" s="319"/>
      <c r="CZ4" s="499"/>
      <c r="DA4" s="319"/>
      <c r="DB4" s="499"/>
    </row>
    <row r="5" spans="1:107" x14ac:dyDescent="0.25">
      <c r="A5" s="496"/>
      <c r="B5" s="496"/>
      <c r="C5" s="496"/>
      <c r="D5" s="496" t="s">
        <v>147</v>
      </c>
      <c r="E5" s="496"/>
      <c r="F5" s="496"/>
      <c r="G5" s="496"/>
      <c r="H5" s="499"/>
      <c r="I5" s="319"/>
      <c r="J5" s="499"/>
      <c r="K5" s="319"/>
      <c r="L5" s="499"/>
      <c r="M5" s="319"/>
      <c r="N5" s="499"/>
      <c r="O5" s="319"/>
      <c r="P5" s="499"/>
      <c r="Q5" s="319"/>
      <c r="R5" s="499"/>
      <c r="S5" s="319"/>
      <c r="T5" s="499"/>
      <c r="U5" s="319"/>
      <c r="V5" s="499"/>
      <c r="W5" s="319"/>
      <c r="X5" s="499"/>
      <c r="Y5" s="319"/>
      <c r="Z5" s="499"/>
      <c r="AA5" s="319"/>
      <c r="AB5" s="499"/>
      <c r="AC5" s="319"/>
      <c r="AD5" s="499"/>
      <c r="AE5" s="319"/>
      <c r="AF5" s="499"/>
      <c r="AG5" s="319"/>
      <c r="AH5" s="319"/>
      <c r="AI5" s="319"/>
      <c r="AJ5" s="499"/>
      <c r="AK5" s="319"/>
      <c r="AL5" s="499"/>
      <c r="AM5" s="319"/>
      <c r="AN5" s="499"/>
      <c r="AO5" s="319"/>
      <c r="AP5" s="499"/>
      <c r="AQ5" s="319"/>
      <c r="AR5" s="499"/>
      <c r="AS5" s="319"/>
      <c r="AT5" s="499"/>
      <c r="AU5" s="319"/>
      <c r="AV5" s="499"/>
      <c r="AW5" s="319"/>
      <c r="AX5" s="499"/>
      <c r="AY5" s="319"/>
      <c r="AZ5" s="499"/>
      <c r="BA5" s="319"/>
      <c r="BB5" s="499"/>
      <c r="BC5" s="319"/>
      <c r="BD5" s="499"/>
      <c r="BE5" s="319"/>
      <c r="BF5" s="319"/>
      <c r="BG5" s="319"/>
      <c r="BH5" s="499"/>
      <c r="BI5" s="319"/>
      <c r="BJ5" s="499"/>
      <c r="BK5" s="319"/>
      <c r="BL5" s="499"/>
      <c r="BM5" s="319"/>
      <c r="BN5" s="499"/>
      <c r="BO5" s="319"/>
      <c r="BP5" s="499"/>
      <c r="BQ5" s="319"/>
      <c r="BR5" s="499"/>
      <c r="BS5" s="319"/>
      <c r="BT5" s="499"/>
      <c r="BU5" s="319"/>
      <c r="BV5" s="499"/>
      <c r="BW5" s="319"/>
      <c r="BX5" s="499"/>
      <c r="BY5" s="319"/>
      <c r="BZ5" s="499"/>
      <c r="CA5" s="319"/>
      <c r="CB5" s="499"/>
      <c r="CC5" s="319"/>
      <c r="CD5" s="499"/>
      <c r="CE5" s="319"/>
      <c r="CF5" s="499"/>
      <c r="CG5" s="319"/>
      <c r="CH5" s="319"/>
      <c r="CI5" s="319"/>
      <c r="CJ5" s="499"/>
      <c r="CK5" s="319"/>
      <c r="CL5" s="319"/>
      <c r="CM5" s="319"/>
      <c r="CN5" s="499"/>
      <c r="CO5" s="319"/>
      <c r="CP5" s="319"/>
      <c r="CQ5" s="319"/>
      <c r="CR5" s="499"/>
      <c r="CS5" s="319"/>
      <c r="CT5" s="319"/>
      <c r="CU5" s="319"/>
      <c r="CV5" s="499"/>
      <c r="CW5" s="319"/>
      <c r="CX5" s="499"/>
      <c r="CY5" s="319"/>
      <c r="CZ5" s="499"/>
      <c r="DA5" s="319"/>
      <c r="DB5" s="499"/>
    </row>
    <row r="6" spans="1:107" x14ac:dyDescent="0.25">
      <c r="A6" s="496"/>
      <c r="B6" s="496"/>
      <c r="C6" s="496"/>
      <c r="D6" s="496"/>
      <c r="E6" s="496" t="s">
        <v>148</v>
      </c>
      <c r="F6" s="496"/>
      <c r="G6" s="496"/>
      <c r="H6" s="499"/>
      <c r="I6" s="319"/>
      <c r="J6" s="499"/>
      <c r="K6" s="319"/>
      <c r="L6" s="499"/>
      <c r="M6" s="319"/>
      <c r="N6" s="499"/>
      <c r="O6" s="319"/>
      <c r="P6" s="499"/>
      <c r="Q6" s="319"/>
      <c r="R6" s="499"/>
      <c r="S6" s="319"/>
      <c r="T6" s="499"/>
      <c r="U6" s="319"/>
      <c r="V6" s="499"/>
      <c r="W6" s="319"/>
      <c r="X6" s="499"/>
      <c r="Y6" s="319"/>
      <c r="Z6" s="499"/>
      <c r="AA6" s="319"/>
      <c r="AB6" s="499"/>
      <c r="AC6" s="319"/>
      <c r="AD6" s="499"/>
      <c r="AE6" s="319"/>
      <c r="AF6" s="499"/>
      <c r="AG6" s="319"/>
      <c r="AH6" s="319"/>
      <c r="AI6" s="319"/>
      <c r="AJ6" s="499"/>
      <c r="AK6" s="319"/>
      <c r="AL6" s="499"/>
      <c r="AM6" s="319"/>
      <c r="AN6" s="499"/>
      <c r="AO6" s="319"/>
      <c r="AP6" s="499"/>
      <c r="AQ6" s="319"/>
      <c r="AR6" s="499"/>
      <c r="AS6" s="319"/>
      <c r="AT6" s="499"/>
      <c r="AU6" s="319"/>
      <c r="AV6" s="499"/>
      <c r="AW6" s="319"/>
      <c r="AX6" s="499"/>
      <c r="AY6" s="319"/>
      <c r="AZ6" s="499"/>
      <c r="BA6" s="319"/>
      <c r="BB6" s="499"/>
      <c r="BC6" s="319"/>
      <c r="BD6" s="499"/>
      <c r="BE6" s="319"/>
      <c r="BF6" s="319"/>
      <c r="BG6" s="319"/>
      <c r="BH6" s="499"/>
      <c r="BI6" s="319"/>
      <c r="BJ6" s="499"/>
      <c r="BK6" s="319"/>
      <c r="BL6" s="499"/>
      <c r="BM6" s="319"/>
      <c r="BN6" s="499"/>
      <c r="BO6" s="319"/>
      <c r="BP6" s="499"/>
      <c r="BQ6" s="319"/>
      <c r="BR6" s="499"/>
      <c r="BS6" s="319"/>
      <c r="BT6" s="499"/>
      <c r="BU6" s="319"/>
      <c r="BV6" s="499"/>
      <c r="BW6" s="319"/>
      <c r="BX6" s="499"/>
      <c r="BY6" s="319"/>
      <c r="BZ6" s="499"/>
      <c r="CA6" s="319"/>
      <c r="CB6" s="499"/>
      <c r="CC6" s="319"/>
      <c r="CD6" s="499"/>
      <c r="CE6" s="319"/>
      <c r="CF6" s="499"/>
      <c r="CG6" s="319"/>
      <c r="CH6" s="319"/>
      <c r="CI6" s="319"/>
      <c r="CJ6" s="499"/>
      <c r="CK6" s="319"/>
      <c r="CL6" s="319"/>
      <c r="CM6" s="319"/>
      <c r="CN6" s="499"/>
      <c r="CO6" s="319"/>
      <c r="CP6" s="319"/>
      <c r="CQ6" s="319"/>
      <c r="CR6" s="499"/>
      <c r="CS6" s="319"/>
      <c r="CT6" s="319"/>
      <c r="CU6" s="319"/>
      <c r="CV6" s="499"/>
      <c r="CW6" s="319"/>
      <c r="CX6" s="499"/>
      <c r="CY6" s="319"/>
      <c r="CZ6" s="499"/>
      <c r="DA6" s="319"/>
      <c r="DB6" s="499"/>
    </row>
    <row r="7" spans="1:107" x14ac:dyDescent="0.25">
      <c r="A7" s="496"/>
      <c r="B7" s="496"/>
      <c r="C7" s="496"/>
      <c r="D7" s="496"/>
      <c r="E7" s="496"/>
      <c r="F7" s="496" t="s">
        <v>149</v>
      </c>
      <c r="G7" s="496"/>
      <c r="H7" s="499">
        <v>0</v>
      </c>
      <c r="I7" s="319"/>
      <c r="J7" s="499"/>
      <c r="K7" s="319"/>
      <c r="L7" s="499">
        <v>117677</v>
      </c>
      <c r="M7" s="319"/>
      <c r="N7" s="499">
        <v>195062</v>
      </c>
      <c r="O7" s="319"/>
      <c r="P7" s="499">
        <v>117677</v>
      </c>
      <c r="Q7" s="319"/>
      <c r="R7" s="499">
        <v>195062</v>
      </c>
      <c r="S7" s="319"/>
      <c r="T7" s="499">
        <v>0</v>
      </c>
      <c r="U7" s="319"/>
      <c r="V7" s="499"/>
      <c r="W7" s="319"/>
      <c r="X7" s="499">
        <v>0</v>
      </c>
      <c r="Y7" s="319"/>
      <c r="Z7" s="499"/>
      <c r="AA7" s="319"/>
      <c r="AB7" s="499">
        <v>0</v>
      </c>
      <c r="AC7" s="319"/>
      <c r="AD7" s="499"/>
      <c r="AE7" s="319"/>
      <c r="AF7" s="499">
        <v>0</v>
      </c>
      <c r="AG7" s="319"/>
      <c r="AH7" s="319"/>
      <c r="AI7" s="319"/>
      <c r="AJ7" s="499">
        <v>0</v>
      </c>
      <c r="AK7" s="319"/>
      <c r="AL7" s="499"/>
      <c r="AM7" s="319"/>
      <c r="AN7" s="499">
        <v>0</v>
      </c>
      <c r="AO7" s="319"/>
      <c r="AP7" s="499"/>
      <c r="AQ7" s="319"/>
      <c r="AR7" s="499">
        <v>0</v>
      </c>
      <c r="AS7" s="319"/>
      <c r="AT7" s="499"/>
      <c r="AU7" s="319"/>
      <c r="AV7" s="499">
        <v>0</v>
      </c>
      <c r="AW7" s="319"/>
      <c r="AX7" s="499"/>
      <c r="AY7" s="319"/>
      <c r="AZ7" s="499">
        <v>0</v>
      </c>
      <c r="BA7" s="319"/>
      <c r="BB7" s="499"/>
      <c r="BC7" s="319"/>
      <c r="BD7" s="499">
        <v>0</v>
      </c>
      <c r="BE7" s="319"/>
      <c r="BF7" s="319"/>
      <c r="BG7" s="319"/>
      <c r="BH7" s="499">
        <v>0</v>
      </c>
      <c r="BI7" s="319"/>
      <c r="BJ7" s="499"/>
      <c r="BK7" s="319"/>
      <c r="BL7" s="499">
        <v>0</v>
      </c>
      <c r="BM7" s="319"/>
      <c r="BN7" s="499"/>
      <c r="BO7" s="319"/>
      <c r="BP7" s="499">
        <v>0</v>
      </c>
      <c r="BQ7" s="319"/>
      <c r="BR7" s="499"/>
      <c r="BS7" s="319"/>
      <c r="BT7" s="499">
        <v>0</v>
      </c>
      <c r="BU7" s="319"/>
      <c r="BV7" s="499"/>
      <c r="BW7" s="319"/>
      <c r="BX7" s="499">
        <v>0</v>
      </c>
      <c r="BY7" s="319"/>
      <c r="BZ7" s="499"/>
      <c r="CA7" s="319"/>
      <c r="CB7" s="499">
        <v>0</v>
      </c>
      <c r="CC7" s="319"/>
      <c r="CD7" s="499"/>
      <c r="CE7" s="319"/>
      <c r="CF7" s="499">
        <v>0</v>
      </c>
      <c r="CG7" s="319"/>
      <c r="CH7" s="319"/>
      <c r="CI7" s="319"/>
      <c r="CJ7" s="499">
        <v>0</v>
      </c>
      <c r="CK7" s="319"/>
      <c r="CL7" s="319"/>
      <c r="CM7" s="319"/>
      <c r="CN7" s="499">
        <v>0</v>
      </c>
      <c r="CO7" s="319"/>
      <c r="CP7" s="319"/>
      <c r="CQ7" s="319"/>
      <c r="CR7" s="499">
        <v>0</v>
      </c>
      <c r="CS7" s="319"/>
      <c r="CT7" s="319"/>
      <c r="CU7" s="319"/>
      <c r="CV7" s="499">
        <v>0</v>
      </c>
      <c r="CW7" s="319"/>
      <c r="CX7" s="499">
        <v>0</v>
      </c>
      <c r="CY7" s="319"/>
      <c r="CZ7" s="499">
        <v>117677</v>
      </c>
      <c r="DA7" s="319"/>
      <c r="DB7" s="499">
        <v>195062</v>
      </c>
    </row>
    <row r="8" spans="1:107" x14ac:dyDescent="0.25">
      <c r="A8" s="496"/>
      <c r="B8" s="496"/>
      <c r="C8" s="496"/>
      <c r="D8" s="496"/>
      <c r="E8" s="496"/>
      <c r="F8" s="496" t="s">
        <v>150</v>
      </c>
      <c r="G8" s="496"/>
      <c r="H8" s="499">
        <v>0</v>
      </c>
      <c r="I8" s="319"/>
      <c r="J8" s="499"/>
      <c r="K8" s="319"/>
      <c r="L8" s="499">
        <v>-8692.25</v>
      </c>
      <c r="M8" s="319"/>
      <c r="N8" s="499">
        <v>-9400</v>
      </c>
      <c r="O8" s="319"/>
      <c r="P8" s="499">
        <v>-8692.25</v>
      </c>
      <c r="Q8" s="319"/>
      <c r="R8" s="499">
        <v>-9400</v>
      </c>
      <c r="S8" s="319"/>
      <c r="T8" s="499">
        <v>0</v>
      </c>
      <c r="U8" s="319"/>
      <c r="V8" s="499"/>
      <c r="W8" s="319"/>
      <c r="X8" s="499">
        <v>0</v>
      </c>
      <c r="Y8" s="319"/>
      <c r="Z8" s="499"/>
      <c r="AA8" s="319"/>
      <c r="AB8" s="499">
        <v>0</v>
      </c>
      <c r="AC8" s="319"/>
      <c r="AD8" s="499"/>
      <c r="AE8" s="319"/>
      <c r="AF8" s="499">
        <v>0</v>
      </c>
      <c r="AG8" s="319"/>
      <c r="AH8" s="319"/>
      <c r="AI8" s="319"/>
      <c r="AJ8" s="499">
        <v>0</v>
      </c>
      <c r="AK8" s="319"/>
      <c r="AL8" s="499"/>
      <c r="AM8" s="319"/>
      <c r="AN8" s="499">
        <v>0</v>
      </c>
      <c r="AO8" s="319"/>
      <c r="AP8" s="499"/>
      <c r="AQ8" s="319"/>
      <c r="AR8" s="499">
        <v>0</v>
      </c>
      <c r="AS8" s="319"/>
      <c r="AT8" s="499"/>
      <c r="AU8" s="319"/>
      <c r="AV8" s="499">
        <v>0</v>
      </c>
      <c r="AW8" s="319"/>
      <c r="AX8" s="499"/>
      <c r="AY8" s="319"/>
      <c r="AZ8" s="499">
        <v>0</v>
      </c>
      <c r="BA8" s="319"/>
      <c r="BB8" s="499"/>
      <c r="BC8" s="319"/>
      <c r="BD8" s="499">
        <v>0</v>
      </c>
      <c r="BE8" s="319"/>
      <c r="BF8" s="319"/>
      <c r="BG8" s="319"/>
      <c r="BH8" s="499">
        <v>0</v>
      </c>
      <c r="BI8" s="319"/>
      <c r="BJ8" s="499"/>
      <c r="BK8" s="319"/>
      <c r="BL8" s="499">
        <v>0</v>
      </c>
      <c r="BM8" s="319"/>
      <c r="BN8" s="499"/>
      <c r="BO8" s="319"/>
      <c r="BP8" s="499">
        <v>0</v>
      </c>
      <c r="BQ8" s="319"/>
      <c r="BR8" s="499"/>
      <c r="BS8" s="319"/>
      <c r="BT8" s="499">
        <v>0</v>
      </c>
      <c r="BU8" s="319"/>
      <c r="BV8" s="499"/>
      <c r="BW8" s="319"/>
      <c r="BX8" s="499">
        <v>0</v>
      </c>
      <c r="BY8" s="319"/>
      <c r="BZ8" s="499"/>
      <c r="CA8" s="319"/>
      <c r="CB8" s="499">
        <v>0</v>
      </c>
      <c r="CC8" s="319"/>
      <c r="CD8" s="499"/>
      <c r="CE8" s="319"/>
      <c r="CF8" s="499">
        <v>0</v>
      </c>
      <c r="CG8" s="319"/>
      <c r="CH8" s="319"/>
      <c r="CI8" s="319"/>
      <c r="CJ8" s="499">
        <v>0</v>
      </c>
      <c r="CK8" s="319"/>
      <c r="CL8" s="319"/>
      <c r="CM8" s="319"/>
      <c r="CN8" s="499">
        <v>0</v>
      </c>
      <c r="CO8" s="319"/>
      <c r="CP8" s="319"/>
      <c r="CQ8" s="319"/>
      <c r="CR8" s="499">
        <v>0</v>
      </c>
      <c r="CS8" s="319"/>
      <c r="CT8" s="319"/>
      <c r="CU8" s="319"/>
      <c r="CV8" s="499">
        <v>0</v>
      </c>
      <c r="CW8" s="319"/>
      <c r="CX8" s="499">
        <v>0</v>
      </c>
      <c r="CY8" s="319"/>
      <c r="CZ8" s="499">
        <v>-8692.25</v>
      </c>
      <c r="DA8" s="319"/>
      <c r="DB8" s="499">
        <v>-9400</v>
      </c>
    </row>
    <row r="9" spans="1:107" ht="15.75" thickBot="1" x14ac:dyDescent="0.3">
      <c r="A9" s="496"/>
      <c r="B9" s="496"/>
      <c r="C9" s="496"/>
      <c r="D9" s="496"/>
      <c r="E9" s="496"/>
      <c r="F9" s="496" t="s">
        <v>151</v>
      </c>
      <c r="G9" s="496"/>
      <c r="H9" s="320">
        <v>0</v>
      </c>
      <c r="I9" s="319"/>
      <c r="J9" s="499"/>
      <c r="K9" s="319"/>
      <c r="L9" s="320">
        <v>6518.88</v>
      </c>
      <c r="M9" s="319"/>
      <c r="N9" s="320">
        <v>3232</v>
      </c>
      <c r="O9" s="319"/>
      <c r="P9" s="320">
        <v>6518.88</v>
      </c>
      <c r="Q9" s="319"/>
      <c r="R9" s="320">
        <v>3232</v>
      </c>
      <c r="S9" s="319"/>
      <c r="T9" s="320">
        <v>0</v>
      </c>
      <c r="U9" s="319"/>
      <c r="V9" s="499"/>
      <c r="W9" s="319"/>
      <c r="X9" s="320">
        <v>0</v>
      </c>
      <c r="Y9" s="319"/>
      <c r="Z9" s="499"/>
      <c r="AA9" s="319"/>
      <c r="AB9" s="320">
        <v>0</v>
      </c>
      <c r="AC9" s="319"/>
      <c r="AD9" s="499"/>
      <c r="AE9" s="319"/>
      <c r="AF9" s="320">
        <v>0</v>
      </c>
      <c r="AG9" s="319"/>
      <c r="AH9" s="319"/>
      <c r="AI9" s="319"/>
      <c r="AJ9" s="320">
        <v>0</v>
      </c>
      <c r="AK9" s="319"/>
      <c r="AL9" s="499"/>
      <c r="AM9" s="319"/>
      <c r="AN9" s="320">
        <v>0</v>
      </c>
      <c r="AO9" s="319"/>
      <c r="AP9" s="499"/>
      <c r="AQ9" s="319"/>
      <c r="AR9" s="320">
        <v>0</v>
      </c>
      <c r="AS9" s="319"/>
      <c r="AT9" s="499"/>
      <c r="AU9" s="319"/>
      <c r="AV9" s="320">
        <v>0</v>
      </c>
      <c r="AW9" s="319"/>
      <c r="AX9" s="499"/>
      <c r="AY9" s="319"/>
      <c r="AZ9" s="320">
        <v>50</v>
      </c>
      <c r="BA9" s="319"/>
      <c r="BB9" s="499"/>
      <c r="BC9" s="319"/>
      <c r="BD9" s="320">
        <v>0</v>
      </c>
      <c r="BE9" s="319"/>
      <c r="BF9" s="319"/>
      <c r="BG9" s="319"/>
      <c r="BH9" s="320">
        <v>50</v>
      </c>
      <c r="BI9" s="319"/>
      <c r="BJ9" s="499"/>
      <c r="BK9" s="319"/>
      <c r="BL9" s="320">
        <v>0</v>
      </c>
      <c r="BM9" s="319"/>
      <c r="BN9" s="499"/>
      <c r="BO9" s="319"/>
      <c r="BP9" s="320">
        <v>0</v>
      </c>
      <c r="BQ9" s="319"/>
      <c r="BR9" s="499"/>
      <c r="BS9" s="319"/>
      <c r="BT9" s="320">
        <v>0</v>
      </c>
      <c r="BU9" s="319"/>
      <c r="BV9" s="499"/>
      <c r="BW9" s="319"/>
      <c r="BX9" s="320">
        <v>0</v>
      </c>
      <c r="BY9" s="319"/>
      <c r="BZ9" s="499"/>
      <c r="CA9" s="319"/>
      <c r="CB9" s="320">
        <v>50</v>
      </c>
      <c r="CC9" s="319"/>
      <c r="CD9" s="499"/>
      <c r="CE9" s="319"/>
      <c r="CF9" s="320">
        <v>0</v>
      </c>
      <c r="CG9" s="319"/>
      <c r="CH9" s="319"/>
      <c r="CI9" s="319"/>
      <c r="CJ9" s="320">
        <v>0</v>
      </c>
      <c r="CK9" s="319"/>
      <c r="CL9" s="319"/>
      <c r="CM9" s="319"/>
      <c r="CN9" s="320">
        <v>0</v>
      </c>
      <c r="CO9" s="319"/>
      <c r="CP9" s="319"/>
      <c r="CQ9" s="319"/>
      <c r="CR9" s="320">
        <v>0</v>
      </c>
      <c r="CS9" s="319"/>
      <c r="CT9" s="319"/>
      <c r="CU9" s="319"/>
      <c r="CV9" s="320">
        <v>0</v>
      </c>
      <c r="CW9" s="319"/>
      <c r="CX9" s="320">
        <v>0</v>
      </c>
      <c r="CY9" s="319"/>
      <c r="CZ9" s="320">
        <v>6568.88</v>
      </c>
      <c r="DA9" s="319"/>
      <c r="DB9" s="320">
        <v>3232</v>
      </c>
    </row>
    <row r="10" spans="1:107" x14ac:dyDescent="0.25">
      <c r="A10" s="496"/>
      <c r="B10" s="496"/>
      <c r="C10" s="496"/>
      <c r="D10" s="496"/>
      <c r="E10" s="496" t="s">
        <v>152</v>
      </c>
      <c r="F10" s="496"/>
      <c r="G10" s="496"/>
      <c r="H10" s="499">
        <v>0</v>
      </c>
      <c r="I10" s="319"/>
      <c r="J10" s="499"/>
      <c r="K10" s="319"/>
      <c r="L10" s="499">
        <v>115503.63</v>
      </c>
      <c r="M10" s="319"/>
      <c r="N10" s="499">
        <v>188894</v>
      </c>
      <c r="O10" s="319"/>
      <c r="P10" s="499">
        <v>115503.63</v>
      </c>
      <c r="Q10" s="319"/>
      <c r="R10" s="499">
        <v>188894</v>
      </c>
      <c r="S10" s="319"/>
      <c r="T10" s="499">
        <v>0</v>
      </c>
      <c r="U10" s="319"/>
      <c r="V10" s="499"/>
      <c r="W10" s="319"/>
      <c r="X10" s="499">
        <v>0</v>
      </c>
      <c r="Y10" s="319"/>
      <c r="Z10" s="499"/>
      <c r="AA10" s="319"/>
      <c r="AB10" s="499">
        <v>0</v>
      </c>
      <c r="AC10" s="319"/>
      <c r="AD10" s="499"/>
      <c r="AE10" s="319"/>
      <c r="AF10" s="499">
        <v>0</v>
      </c>
      <c r="AG10" s="319"/>
      <c r="AH10" s="319"/>
      <c r="AI10" s="319"/>
      <c r="AJ10" s="499">
        <v>0</v>
      </c>
      <c r="AK10" s="319"/>
      <c r="AL10" s="499"/>
      <c r="AM10" s="319"/>
      <c r="AN10" s="499">
        <v>0</v>
      </c>
      <c r="AO10" s="319"/>
      <c r="AP10" s="499"/>
      <c r="AQ10" s="319"/>
      <c r="AR10" s="499">
        <v>0</v>
      </c>
      <c r="AS10" s="319"/>
      <c r="AT10" s="499"/>
      <c r="AU10" s="319"/>
      <c r="AV10" s="499">
        <v>0</v>
      </c>
      <c r="AW10" s="319"/>
      <c r="AX10" s="499"/>
      <c r="AY10" s="319"/>
      <c r="AZ10" s="499">
        <v>50</v>
      </c>
      <c r="BA10" s="319"/>
      <c r="BB10" s="499"/>
      <c r="BC10" s="319"/>
      <c r="BD10" s="499">
        <v>0</v>
      </c>
      <c r="BE10" s="319"/>
      <c r="BF10" s="319"/>
      <c r="BG10" s="319"/>
      <c r="BH10" s="499">
        <v>50</v>
      </c>
      <c r="BI10" s="319"/>
      <c r="BJ10" s="499"/>
      <c r="BK10" s="319"/>
      <c r="BL10" s="499">
        <v>0</v>
      </c>
      <c r="BM10" s="319"/>
      <c r="BN10" s="499"/>
      <c r="BO10" s="319"/>
      <c r="BP10" s="499">
        <v>0</v>
      </c>
      <c r="BQ10" s="319"/>
      <c r="BR10" s="499"/>
      <c r="BS10" s="319"/>
      <c r="BT10" s="499">
        <v>0</v>
      </c>
      <c r="BU10" s="319"/>
      <c r="BV10" s="499"/>
      <c r="BW10" s="319"/>
      <c r="BX10" s="499">
        <v>0</v>
      </c>
      <c r="BY10" s="319"/>
      <c r="BZ10" s="499"/>
      <c r="CA10" s="319"/>
      <c r="CB10" s="499">
        <v>50</v>
      </c>
      <c r="CC10" s="319"/>
      <c r="CD10" s="499"/>
      <c r="CE10" s="319"/>
      <c r="CF10" s="499">
        <v>0</v>
      </c>
      <c r="CG10" s="319"/>
      <c r="CH10" s="319"/>
      <c r="CI10" s="319"/>
      <c r="CJ10" s="499">
        <v>0</v>
      </c>
      <c r="CK10" s="319"/>
      <c r="CL10" s="319"/>
      <c r="CM10" s="319"/>
      <c r="CN10" s="499">
        <v>0</v>
      </c>
      <c r="CO10" s="319"/>
      <c r="CP10" s="319"/>
      <c r="CQ10" s="319"/>
      <c r="CR10" s="499">
        <v>0</v>
      </c>
      <c r="CS10" s="319"/>
      <c r="CT10" s="319"/>
      <c r="CU10" s="319"/>
      <c r="CV10" s="499">
        <v>0</v>
      </c>
      <c r="CW10" s="319"/>
      <c r="CX10" s="499">
        <v>0</v>
      </c>
      <c r="CY10" s="319"/>
      <c r="CZ10" s="499">
        <v>115553.63</v>
      </c>
      <c r="DA10" s="319"/>
      <c r="DB10" s="499">
        <v>188894</v>
      </c>
    </row>
    <row r="11" spans="1:107" x14ac:dyDescent="0.25">
      <c r="A11" s="496"/>
      <c r="B11" s="496"/>
      <c r="C11" s="496"/>
      <c r="D11" s="496"/>
      <c r="E11" s="496" t="s">
        <v>153</v>
      </c>
      <c r="F11" s="496"/>
      <c r="G11" s="496"/>
      <c r="H11" s="499"/>
      <c r="I11" s="319"/>
      <c r="J11" s="499"/>
      <c r="K11" s="319"/>
      <c r="L11" s="499"/>
      <c r="M11" s="319"/>
      <c r="N11" s="499"/>
      <c r="O11" s="319"/>
      <c r="P11" s="499"/>
      <c r="Q11" s="319"/>
      <c r="R11" s="499"/>
      <c r="S11" s="319"/>
      <c r="T11" s="499"/>
      <c r="U11" s="319"/>
      <c r="V11" s="499"/>
      <c r="W11" s="319"/>
      <c r="X11" s="499"/>
      <c r="Y11" s="319"/>
      <c r="Z11" s="499"/>
      <c r="AA11" s="319"/>
      <c r="AB11" s="499"/>
      <c r="AC11" s="319"/>
      <c r="AD11" s="499"/>
      <c r="AE11" s="319"/>
      <c r="AF11" s="499"/>
      <c r="AG11" s="319"/>
      <c r="AH11" s="319"/>
      <c r="AI11" s="319"/>
      <c r="AJ11" s="499"/>
      <c r="AK11" s="319"/>
      <c r="AL11" s="499"/>
      <c r="AM11" s="319"/>
      <c r="AN11" s="499"/>
      <c r="AO11" s="319"/>
      <c r="AP11" s="499"/>
      <c r="AQ11" s="319"/>
      <c r="AR11" s="499"/>
      <c r="AS11" s="319"/>
      <c r="AT11" s="499"/>
      <c r="AU11" s="319"/>
      <c r="AV11" s="499"/>
      <c r="AW11" s="319"/>
      <c r="AX11" s="499"/>
      <c r="AY11" s="319"/>
      <c r="AZ11" s="499"/>
      <c r="BA11" s="319"/>
      <c r="BB11" s="499"/>
      <c r="BC11" s="319"/>
      <c r="BD11" s="499"/>
      <c r="BE11" s="319"/>
      <c r="BF11" s="319"/>
      <c r="BG11" s="319"/>
      <c r="BH11" s="499"/>
      <c r="BI11" s="319"/>
      <c r="BJ11" s="499"/>
      <c r="BK11" s="319"/>
      <c r="BL11" s="499"/>
      <c r="BM11" s="319"/>
      <c r="BN11" s="499"/>
      <c r="BO11" s="319"/>
      <c r="BP11" s="499"/>
      <c r="BQ11" s="319"/>
      <c r="BR11" s="499"/>
      <c r="BS11" s="319"/>
      <c r="BT11" s="499"/>
      <c r="BU11" s="319"/>
      <c r="BV11" s="499"/>
      <c r="BW11" s="319"/>
      <c r="BX11" s="499"/>
      <c r="BY11" s="319"/>
      <c r="BZ11" s="499"/>
      <c r="CA11" s="319"/>
      <c r="CB11" s="499"/>
      <c r="CC11" s="319"/>
      <c r="CD11" s="499"/>
      <c r="CE11" s="319"/>
      <c r="CF11" s="499"/>
      <c r="CG11" s="319"/>
      <c r="CH11" s="319"/>
      <c r="CI11" s="319"/>
      <c r="CJ11" s="499"/>
      <c r="CK11" s="319"/>
      <c r="CL11" s="319"/>
      <c r="CM11" s="319"/>
      <c r="CN11" s="499"/>
      <c r="CO11" s="319"/>
      <c r="CP11" s="319"/>
      <c r="CQ11" s="319"/>
      <c r="CR11" s="499"/>
      <c r="CS11" s="319"/>
      <c r="CT11" s="319"/>
      <c r="CU11" s="319"/>
      <c r="CV11" s="499"/>
      <c r="CW11" s="319"/>
      <c r="CX11" s="499"/>
      <c r="CY11" s="319"/>
      <c r="CZ11" s="499"/>
      <c r="DA11" s="319"/>
      <c r="DB11" s="499"/>
    </row>
    <row r="12" spans="1:107" x14ac:dyDescent="0.25">
      <c r="A12" s="496"/>
      <c r="B12" s="496"/>
      <c r="C12" s="496"/>
      <c r="D12" s="496"/>
      <c r="E12" s="496"/>
      <c r="F12" s="496" t="s">
        <v>154</v>
      </c>
      <c r="G12" s="496"/>
      <c r="H12" s="499">
        <v>0</v>
      </c>
      <c r="I12" s="319"/>
      <c r="J12" s="499"/>
      <c r="K12" s="319"/>
      <c r="L12" s="499">
        <v>0</v>
      </c>
      <c r="M12" s="319"/>
      <c r="N12" s="499"/>
      <c r="O12" s="319"/>
      <c r="P12" s="499">
        <v>0</v>
      </c>
      <c r="Q12" s="319"/>
      <c r="R12" s="499"/>
      <c r="S12" s="319"/>
      <c r="T12" s="499">
        <v>36543.360000000001</v>
      </c>
      <c r="U12" s="319"/>
      <c r="V12" s="499">
        <v>90000</v>
      </c>
      <c r="W12" s="319"/>
      <c r="X12" s="499">
        <v>0</v>
      </c>
      <c r="Y12" s="319"/>
      <c r="Z12" s="499"/>
      <c r="AA12" s="319"/>
      <c r="AB12" s="499">
        <v>0</v>
      </c>
      <c r="AC12" s="319"/>
      <c r="AD12" s="499"/>
      <c r="AE12" s="319"/>
      <c r="AF12" s="499">
        <v>0</v>
      </c>
      <c r="AG12" s="319"/>
      <c r="AH12" s="319"/>
      <c r="AI12" s="319"/>
      <c r="AJ12" s="499">
        <v>0</v>
      </c>
      <c r="AK12" s="319"/>
      <c r="AL12" s="499"/>
      <c r="AM12" s="319"/>
      <c r="AN12" s="499">
        <v>0</v>
      </c>
      <c r="AO12" s="319"/>
      <c r="AP12" s="499"/>
      <c r="AQ12" s="319"/>
      <c r="AR12" s="499">
        <v>0</v>
      </c>
      <c r="AS12" s="319"/>
      <c r="AT12" s="499"/>
      <c r="AU12" s="319"/>
      <c r="AV12" s="499">
        <v>0</v>
      </c>
      <c r="AW12" s="319"/>
      <c r="AX12" s="499"/>
      <c r="AY12" s="319"/>
      <c r="AZ12" s="499">
        <v>0</v>
      </c>
      <c r="BA12" s="319"/>
      <c r="BB12" s="499"/>
      <c r="BC12" s="319"/>
      <c r="BD12" s="499">
        <v>0</v>
      </c>
      <c r="BE12" s="319"/>
      <c r="BF12" s="319"/>
      <c r="BG12" s="319"/>
      <c r="BH12" s="499">
        <v>0</v>
      </c>
      <c r="BI12" s="319"/>
      <c r="BJ12" s="499"/>
      <c r="BK12" s="319"/>
      <c r="BL12" s="499">
        <v>0</v>
      </c>
      <c r="BM12" s="319"/>
      <c r="BN12" s="499"/>
      <c r="BO12" s="319"/>
      <c r="BP12" s="499">
        <v>0</v>
      </c>
      <c r="BQ12" s="319"/>
      <c r="BR12" s="499"/>
      <c r="BS12" s="319"/>
      <c r="BT12" s="499">
        <v>115</v>
      </c>
      <c r="BU12" s="319"/>
      <c r="BV12" s="499">
        <v>7500</v>
      </c>
      <c r="BW12" s="319"/>
      <c r="BX12" s="499">
        <v>115</v>
      </c>
      <c r="BY12" s="319"/>
      <c r="BZ12" s="499">
        <v>7500</v>
      </c>
      <c r="CA12" s="319"/>
      <c r="CB12" s="499">
        <v>115</v>
      </c>
      <c r="CC12" s="319"/>
      <c r="CD12" s="499">
        <v>7500</v>
      </c>
      <c r="CE12" s="319"/>
      <c r="CF12" s="499">
        <v>0</v>
      </c>
      <c r="CG12" s="319"/>
      <c r="CH12" s="319"/>
      <c r="CI12" s="319"/>
      <c r="CJ12" s="499">
        <v>0</v>
      </c>
      <c r="CK12" s="319"/>
      <c r="CL12" s="319"/>
      <c r="CM12" s="319"/>
      <c r="CN12" s="499">
        <v>0</v>
      </c>
      <c r="CO12" s="319"/>
      <c r="CP12" s="319"/>
      <c r="CQ12" s="319"/>
      <c r="CR12" s="499">
        <v>0</v>
      </c>
      <c r="CS12" s="319"/>
      <c r="CT12" s="319"/>
      <c r="CU12" s="319"/>
      <c r="CV12" s="499">
        <v>0</v>
      </c>
      <c r="CW12" s="319"/>
      <c r="CX12" s="499">
        <v>0</v>
      </c>
      <c r="CY12" s="319"/>
      <c r="CZ12" s="499">
        <v>36658.36</v>
      </c>
      <c r="DA12" s="319"/>
      <c r="DB12" s="499">
        <v>97500</v>
      </c>
    </row>
    <row r="13" spans="1:107" x14ac:dyDescent="0.25">
      <c r="A13" s="496"/>
      <c r="B13" s="496"/>
      <c r="C13" s="496"/>
      <c r="D13" s="496"/>
      <c r="E13" s="496"/>
      <c r="F13" s="496" t="s">
        <v>155</v>
      </c>
      <c r="G13" s="496"/>
      <c r="H13" s="499">
        <v>0</v>
      </c>
      <c r="I13" s="319"/>
      <c r="J13" s="499"/>
      <c r="K13" s="319"/>
      <c r="L13" s="499">
        <v>0</v>
      </c>
      <c r="M13" s="319"/>
      <c r="N13" s="499"/>
      <c r="O13" s="319"/>
      <c r="P13" s="499">
        <v>0</v>
      </c>
      <c r="Q13" s="319"/>
      <c r="R13" s="499"/>
      <c r="S13" s="319"/>
      <c r="T13" s="499">
        <v>0</v>
      </c>
      <c r="U13" s="319"/>
      <c r="V13" s="499"/>
      <c r="W13" s="319"/>
      <c r="X13" s="499">
        <v>0</v>
      </c>
      <c r="Y13" s="319"/>
      <c r="Z13" s="499"/>
      <c r="AA13" s="319"/>
      <c r="AB13" s="499">
        <v>0</v>
      </c>
      <c r="AC13" s="319"/>
      <c r="AD13" s="499"/>
      <c r="AE13" s="319"/>
      <c r="AF13" s="499">
        <v>0</v>
      </c>
      <c r="AG13" s="319"/>
      <c r="AH13" s="319"/>
      <c r="AI13" s="319"/>
      <c r="AJ13" s="499">
        <v>0</v>
      </c>
      <c r="AK13" s="319"/>
      <c r="AL13" s="499"/>
      <c r="AM13" s="319"/>
      <c r="AN13" s="499">
        <v>0</v>
      </c>
      <c r="AO13" s="319"/>
      <c r="AP13" s="499"/>
      <c r="AQ13" s="319"/>
      <c r="AR13" s="499">
        <v>0</v>
      </c>
      <c r="AS13" s="319"/>
      <c r="AT13" s="499"/>
      <c r="AU13" s="319"/>
      <c r="AV13" s="499">
        <v>0</v>
      </c>
      <c r="AW13" s="319"/>
      <c r="AX13" s="499"/>
      <c r="AY13" s="319"/>
      <c r="AZ13" s="499">
        <v>0</v>
      </c>
      <c r="BA13" s="319"/>
      <c r="BB13" s="499"/>
      <c r="BC13" s="319"/>
      <c r="BD13" s="499">
        <v>0</v>
      </c>
      <c r="BE13" s="319"/>
      <c r="BF13" s="319"/>
      <c r="BG13" s="319"/>
      <c r="BH13" s="499">
        <v>0</v>
      </c>
      <c r="BI13" s="319"/>
      <c r="BJ13" s="499"/>
      <c r="BK13" s="319"/>
      <c r="BL13" s="499">
        <v>6705</v>
      </c>
      <c r="BM13" s="319"/>
      <c r="BN13" s="499"/>
      <c r="BO13" s="319"/>
      <c r="BP13" s="499">
        <v>190</v>
      </c>
      <c r="BQ13" s="319"/>
      <c r="BR13" s="499">
        <v>25000</v>
      </c>
      <c r="BS13" s="319"/>
      <c r="BT13" s="499">
        <v>0</v>
      </c>
      <c r="BU13" s="319"/>
      <c r="BV13" s="499">
        <v>0</v>
      </c>
      <c r="BW13" s="319"/>
      <c r="BX13" s="499">
        <v>6895</v>
      </c>
      <c r="BY13" s="319"/>
      <c r="BZ13" s="499">
        <v>25000</v>
      </c>
      <c r="CA13" s="319"/>
      <c r="CB13" s="499">
        <v>6895</v>
      </c>
      <c r="CC13" s="319"/>
      <c r="CD13" s="499">
        <v>25000</v>
      </c>
      <c r="CE13" s="319"/>
      <c r="CF13" s="499">
        <v>0</v>
      </c>
      <c r="CG13" s="319"/>
      <c r="CH13" s="319"/>
      <c r="CI13" s="319"/>
      <c r="CJ13" s="499">
        <v>0</v>
      </c>
      <c r="CK13" s="319"/>
      <c r="CL13" s="319"/>
      <c r="CM13" s="319"/>
      <c r="CN13" s="499">
        <v>0</v>
      </c>
      <c r="CO13" s="319"/>
      <c r="CP13" s="319"/>
      <c r="CQ13" s="319"/>
      <c r="CR13" s="499">
        <v>0</v>
      </c>
      <c r="CS13" s="319"/>
      <c r="CT13" s="319"/>
      <c r="CU13" s="319"/>
      <c r="CV13" s="499">
        <v>0</v>
      </c>
      <c r="CW13" s="319"/>
      <c r="CX13" s="499">
        <v>0</v>
      </c>
      <c r="CY13" s="319"/>
      <c r="CZ13" s="499">
        <v>6895</v>
      </c>
      <c r="DA13" s="319"/>
      <c r="DB13" s="499">
        <v>25000</v>
      </c>
    </row>
    <row r="14" spans="1:107" x14ac:dyDescent="0.25">
      <c r="A14" s="496"/>
      <c r="B14" s="496"/>
      <c r="C14" s="496"/>
      <c r="D14" s="496"/>
      <c r="E14" s="496"/>
      <c r="F14" s="496" t="s">
        <v>156</v>
      </c>
      <c r="G14" s="496"/>
      <c r="H14" s="499">
        <v>146.9</v>
      </c>
      <c r="I14" s="319"/>
      <c r="J14" s="499"/>
      <c r="K14" s="319"/>
      <c r="L14" s="499">
        <v>439.24</v>
      </c>
      <c r="M14" s="319"/>
      <c r="N14" s="499"/>
      <c r="O14" s="319"/>
      <c r="P14" s="499">
        <v>586.14</v>
      </c>
      <c r="Q14" s="319"/>
      <c r="R14" s="499"/>
      <c r="S14" s="319"/>
      <c r="T14" s="499">
        <v>0</v>
      </c>
      <c r="U14" s="319"/>
      <c r="V14" s="499"/>
      <c r="W14" s="319"/>
      <c r="X14" s="499">
        <v>0</v>
      </c>
      <c r="Y14" s="319"/>
      <c r="Z14" s="499"/>
      <c r="AA14" s="319"/>
      <c r="AB14" s="499">
        <v>0</v>
      </c>
      <c r="AC14" s="319"/>
      <c r="AD14" s="499"/>
      <c r="AE14" s="319"/>
      <c r="AF14" s="499">
        <v>0</v>
      </c>
      <c r="AG14" s="319"/>
      <c r="AH14" s="319"/>
      <c r="AI14" s="319"/>
      <c r="AJ14" s="499">
        <v>0</v>
      </c>
      <c r="AK14" s="319"/>
      <c r="AL14" s="499"/>
      <c r="AM14" s="319"/>
      <c r="AN14" s="499">
        <v>0</v>
      </c>
      <c r="AO14" s="319"/>
      <c r="AP14" s="499"/>
      <c r="AQ14" s="319"/>
      <c r="AR14" s="499">
        <v>161.1</v>
      </c>
      <c r="AS14" s="319"/>
      <c r="AT14" s="499"/>
      <c r="AU14" s="319"/>
      <c r="AV14" s="499">
        <v>0</v>
      </c>
      <c r="AW14" s="319"/>
      <c r="AX14" s="499"/>
      <c r="AY14" s="319"/>
      <c r="AZ14" s="499">
        <v>0</v>
      </c>
      <c r="BA14" s="319"/>
      <c r="BB14" s="499"/>
      <c r="BC14" s="319"/>
      <c r="BD14" s="499">
        <v>0</v>
      </c>
      <c r="BE14" s="319"/>
      <c r="BF14" s="319"/>
      <c r="BG14" s="319"/>
      <c r="BH14" s="499">
        <v>0</v>
      </c>
      <c r="BI14" s="319"/>
      <c r="BJ14" s="499"/>
      <c r="BK14" s="319"/>
      <c r="BL14" s="499">
        <v>0</v>
      </c>
      <c r="BM14" s="319"/>
      <c r="BN14" s="499"/>
      <c r="BO14" s="319"/>
      <c r="BP14" s="499">
        <v>0</v>
      </c>
      <c r="BQ14" s="319"/>
      <c r="BR14" s="499"/>
      <c r="BS14" s="319"/>
      <c r="BT14" s="499">
        <v>0</v>
      </c>
      <c r="BU14" s="319"/>
      <c r="BV14" s="499"/>
      <c r="BW14" s="319"/>
      <c r="BX14" s="499">
        <v>0</v>
      </c>
      <c r="BY14" s="319"/>
      <c r="BZ14" s="499"/>
      <c r="CA14" s="319"/>
      <c r="CB14" s="499">
        <v>161.1</v>
      </c>
      <c r="CC14" s="319"/>
      <c r="CD14" s="499"/>
      <c r="CE14" s="319"/>
      <c r="CF14" s="499">
        <v>0</v>
      </c>
      <c r="CG14" s="319"/>
      <c r="CH14" s="319"/>
      <c r="CI14" s="319"/>
      <c r="CJ14" s="499">
        <v>0</v>
      </c>
      <c r="CK14" s="319"/>
      <c r="CL14" s="319"/>
      <c r="CM14" s="319"/>
      <c r="CN14" s="499">
        <v>0</v>
      </c>
      <c r="CO14" s="319"/>
      <c r="CP14" s="319"/>
      <c r="CQ14" s="319"/>
      <c r="CR14" s="499">
        <v>0</v>
      </c>
      <c r="CS14" s="319"/>
      <c r="CT14" s="319"/>
      <c r="CU14" s="319"/>
      <c r="CV14" s="499">
        <v>0</v>
      </c>
      <c r="CW14" s="319"/>
      <c r="CX14" s="499">
        <v>0</v>
      </c>
      <c r="CY14" s="319"/>
      <c r="CZ14" s="499">
        <v>747.24</v>
      </c>
      <c r="DA14" s="319"/>
      <c r="DB14" s="499">
        <v>0</v>
      </c>
    </row>
    <row r="15" spans="1:107" ht="15.75" thickBot="1" x14ac:dyDescent="0.3">
      <c r="A15" s="496"/>
      <c r="B15" s="496"/>
      <c r="C15" s="496"/>
      <c r="D15" s="496"/>
      <c r="E15" s="496"/>
      <c r="F15" s="496" t="s">
        <v>157</v>
      </c>
      <c r="G15" s="496"/>
      <c r="H15" s="499">
        <v>0</v>
      </c>
      <c r="I15" s="319"/>
      <c r="J15" s="499"/>
      <c r="K15" s="319"/>
      <c r="L15" s="499">
        <v>0</v>
      </c>
      <c r="M15" s="319"/>
      <c r="N15" s="499"/>
      <c r="O15" s="319"/>
      <c r="P15" s="499">
        <v>0</v>
      </c>
      <c r="Q15" s="319"/>
      <c r="R15" s="499"/>
      <c r="S15" s="319"/>
      <c r="T15" s="499">
        <v>0</v>
      </c>
      <c r="U15" s="319"/>
      <c r="V15" s="499"/>
      <c r="W15" s="319"/>
      <c r="X15" s="499">
        <v>0</v>
      </c>
      <c r="Y15" s="319"/>
      <c r="Z15" s="499"/>
      <c r="AA15" s="319"/>
      <c r="AB15" s="499">
        <v>0</v>
      </c>
      <c r="AC15" s="319"/>
      <c r="AD15" s="499"/>
      <c r="AE15" s="319"/>
      <c r="AF15" s="499">
        <v>0</v>
      </c>
      <c r="AG15" s="319"/>
      <c r="AH15" s="319"/>
      <c r="AI15" s="319"/>
      <c r="AJ15" s="499">
        <v>0</v>
      </c>
      <c r="AK15" s="319"/>
      <c r="AL15" s="499"/>
      <c r="AM15" s="319"/>
      <c r="AN15" s="499">
        <v>0</v>
      </c>
      <c r="AO15" s="319"/>
      <c r="AP15" s="499"/>
      <c r="AQ15" s="319"/>
      <c r="AR15" s="499">
        <v>0</v>
      </c>
      <c r="AS15" s="319"/>
      <c r="AT15" s="499"/>
      <c r="AU15" s="319"/>
      <c r="AV15" s="499">
        <v>0</v>
      </c>
      <c r="AW15" s="319"/>
      <c r="AX15" s="499"/>
      <c r="AY15" s="319"/>
      <c r="AZ15" s="499">
        <v>17500</v>
      </c>
      <c r="BA15" s="319"/>
      <c r="BB15" s="499">
        <v>5750</v>
      </c>
      <c r="BC15" s="319"/>
      <c r="BD15" s="499">
        <v>0</v>
      </c>
      <c r="BE15" s="319"/>
      <c r="BF15" s="319"/>
      <c r="BG15" s="319"/>
      <c r="BH15" s="499">
        <v>17500</v>
      </c>
      <c r="BI15" s="319"/>
      <c r="BJ15" s="499">
        <v>5750</v>
      </c>
      <c r="BK15" s="319"/>
      <c r="BL15" s="499">
        <v>0</v>
      </c>
      <c r="BM15" s="319"/>
      <c r="BN15" s="499"/>
      <c r="BO15" s="319"/>
      <c r="BP15" s="499">
        <v>0</v>
      </c>
      <c r="BQ15" s="319"/>
      <c r="BR15" s="499"/>
      <c r="BS15" s="319"/>
      <c r="BT15" s="499">
        <v>0</v>
      </c>
      <c r="BU15" s="319"/>
      <c r="BV15" s="499"/>
      <c r="BW15" s="319"/>
      <c r="BX15" s="499">
        <v>0</v>
      </c>
      <c r="BY15" s="319"/>
      <c r="BZ15" s="499"/>
      <c r="CA15" s="319"/>
      <c r="CB15" s="499">
        <v>17500</v>
      </c>
      <c r="CC15" s="319"/>
      <c r="CD15" s="499">
        <v>5750</v>
      </c>
      <c r="CE15" s="319"/>
      <c r="CF15" s="499">
        <v>0</v>
      </c>
      <c r="CG15" s="319"/>
      <c r="CH15" s="319"/>
      <c r="CI15" s="319"/>
      <c r="CJ15" s="499">
        <v>0</v>
      </c>
      <c r="CK15" s="319"/>
      <c r="CL15" s="319"/>
      <c r="CM15" s="319"/>
      <c r="CN15" s="499">
        <v>0</v>
      </c>
      <c r="CO15" s="319"/>
      <c r="CP15" s="319"/>
      <c r="CQ15" s="319"/>
      <c r="CR15" s="499">
        <v>0</v>
      </c>
      <c r="CS15" s="319"/>
      <c r="CT15" s="319"/>
      <c r="CU15" s="319"/>
      <c r="CV15" s="499">
        <v>0</v>
      </c>
      <c r="CW15" s="319"/>
      <c r="CX15" s="499">
        <v>0</v>
      </c>
      <c r="CY15" s="319"/>
      <c r="CZ15" s="499">
        <v>17500</v>
      </c>
      <c r="DA15" s="319"/>
      <c r="DB15" s="320">
        <v>5750</v>
      </c>
    </row>
    <row r="16" spans="1:107" ht="15.75" thickBot="1" x14ac:dyDescent="0.3">
      <c r="A16" s="531"/>
      <c r="B16" s="531"/>
      <c r="C16" s="531"/>
      <c r="D16" s="531"/>
      <c r="E16" s="531"/>
      <c r="F16" s="531" t="s">
        <v>206</v>
      </c>
      <c r="G16" s="531"/>
      <c r="H16" s="320">
        <v>0</v>
      </c>
      <c r="I16" s="319"/>
      <c r="J16" s="499"/>
      <c r="K16" s="319"/>
      <c r="L16" s="320">
        <v>0</v>
      </c>
      <c r="M16" s="319"/>
      <c r="N16" s="499"/>
      <c r="O16" s="319"/>
      <c r="P16" s="320">
        <v>0</v>
      </c>
      <c r="Q16" s="319"/>
      <c r="R16" s="499"/>
      <c r="S16" s="319"/>
      <c r="T16" s="320">
        <v>0</v>
      </c>
      <c r="U16" s="319"/>
      <c r="V16" s="320"/>
      <c r="W16" s="319"/>
      <c r="X16" s="320">
        <v>0</v>
      </c>
      <c r="Y16" s="319"/>
      <c r="Z16" s="499"/>
      <c r="AA16" s="319"/>
      <c r="AB16" s="320">
        <v>0</v>
      </c>
      <c r="AC16" s="319"/>
      <c r="AD16" s="499"/>
      <c r="AE16" s="319"/>
      <c r="AF16" s="320">
        <v>0</v>
      </c>
      <c r="AG16" s="319"/>
      <c r="AH16" s="319"/>
      <c r="AI16" s="319"/>
      <c r="AJ16" s="320">
        <v>0</v>
      </c>
      <c r="AK16" s="319"/>
      <c r="AL16" s="499"/>
      <c r="AM16" s="319"/>
      <c r="AN16" s="320">
        <v>0</v>
      </c>
      <c r="AO16" s="319"/>
      <c r="AP16" s="499"/>
      <c r="AQ16" s="319"/>
      <c r="AR16" s="320">
        <v>0</v>
      </c>
      <c r="AS16" s="319"/>
      <c r="AT16" s="499"/>
      <c r="AU16" s="319"/>
      <c r="AV16" s="320">
        <v>0</v>
      </c>
      <c r="AW16" s="319"/>
      <c r="AX16" s="499"/>
      <c r="AY16" s="319"/>
      <c r="AZ16" s="320">
        <v>0</v>
      </c>
      <c r="BA16" s="319"/>
      <c r="BB16" s="320"/>
      <c r="BC16" s="319"/>
      <c r="BD16" s="320">
        <v>0</v>
      </c>
      <c r="BE16" s="319"/>
      <c r="BF16" s="319"/>
      <c r="BG16" s="319"/>
      <c r="BH16" s="320">
        <v>0</v>
      </c>
      <c r="BI16" s="319"/>
      <c r="BJ16" s="320"/>
      <c r="BK16" s="319"/>
      <c r="BL16" s="320">
        <v>0</v>
      </c>
      <c r="BM16" s="319"/>
      <c r="BN16" s="499"/>
      <c r="BO16" s="319"/>
      <c r="BP16" s="320">
        <v>0</v>
      </c>
      <c r="BQ16" s="319"/>
      <c r="BR16" s="320"/>
      <c r="BS16" s="319"/>
      <c r="BT16" s="320">
        <v>750</v>
      </c>
      <c r="BU16" s="319"/>
      <c r="BV16" s="320"/>
      <c r="BW16" s="319"/>
      <c r="BX16" s="320">
        <v>750</v>
      </c>
      <c r="BY16" s="319"/>
      <c r="BZ16" s="320"/>
      <c r="CA16" s="319"/>
      <c r="CB16" s="320">
        <v>750</v>
      </c>
      <c r="CC16" s="319"/>
      <c r="CD16" s="320"/>
      <c r="CE16" s="319"/>
      <c r="CF16" s="320">
        <v>0</v>
      </c>
      <c r="CG16" s="319"/>
      <c r="CH16" s="319"/>
      <c r="CI16" s="319"/>
      <c r="CJ16" s="320">
        <v>0</v>
      </c>
      <c r="CK16" s="319"/>
      <c r="CL16" s="319"/>
      <c r="CM16" s="319"/>
      <c r="CN16" s="320">
        <v>0</v>
      </c>
      <c r="CO16" s="319"/>
      <c r="CP16" s="319"/>
      <c r="CQ16" s="319"/>
      <c r="CR16" s="320">
        <v>0</v>
      </c>
      <c r="CS16" s="319"/>
      <c r="CT16" s="319"/>
      <c r="CU16" s="319"/>
      <c r="CV16" s="320">
        <v>0</v>
      </c>
      <c r="CW16" s="319"/>
      <c r="CX16" s="320">
        <v>0</v>
      </c>
      <c r="CY16" s="319"/>
      <c r="CZ16" s="320">
        <v>750</v>
      </c>
      <c r="DA16" s="319"/>
      <c r="DB16" s="497"/>
    </row>
    <row r="17" spans="1:106" x14ac:dyDescent="0.25">
      <c r="A17" s="496"/>
      <c r="B17" s="496"/>
      <c r="C17" s="496"/>
      <c r="D17" s="496"/>
      <c r="E17" s="496" t="s">
        <v>159</v>
      </c>
      <c r="F17" s="496"/>
      <c r="G17" s="496"/>
      <c r="H17" s="499">
        <v>146.9</v>
      </c>
      <c r="I17" s="319"/>
      <c r="J17" s="499"/>
      <c r="K17" s="319"/>
      <c r="L17" s="499">
        <v>439.24</v>
      </c>
      <c r="M17" s="319"/>
      <c r="N17" s="499"/>
      <c r="O17" s="319"/>
      <c r="P17" s="499">
        <v>586.14</v>
      </c>
      <c r="Q17" s="319"/>
      <c r="R17" s="499"/>
      <c r="S17" s="319"/>
      <c r="T17" s="499">
        <v>36543.360000000001</v>
      </c>
      <c r="U17" s="319"/>
      <c r="V17" s="499">
        <v>90000</v>
      </c>
      <c r="W17" s="319"/>
      <c r="X17" s="499">
        <v>0</v>
      </c>
      <c r="Y17" s="319"/>
      <c r="Z17" s="499"/>
      <c r="AA17" s="319"/>
      <c r="AB17" s="499">
        <v>0</v>
      </c>
      <c r="AC17" s="319"/>
      <c r="AD17" s="499"/>
      <c r="AE17" s="319"/>
      <c r="AF17" s="499">
        <v>0</v>
      </c>
      <c r="AG17" s="319"/>
      <c r="AH17" s="319"/>
      <c r="AI17" s="319"/>
      <c r="AJ17" s="499">
        <v>0</v>
      </c>
      <c r="AK17" s="319"/>
      <c r="AL17" s="499"/>
      <c r="AM17" s="319"/>
      <c r="AN17" s="499">
        <v>0</v>
      </c>
      <c r="AO17" s="319"/>
      <c r="AP17" s="499"/>
      <c r="AQ17" s="319"/>
      <c r="AR17" s="499">
        <v>161.1</v>
      </c>
      <c r="AS17" s="319"/>
      <c r="AT17" s="499"/>
      <c r="AU17" s="319"/>
      <c r="AV17" s="499">
        <v>0</v>
      </c>
      <c r="AW17" s="319"/>
      <c r="AX17" s="499"/>
      <c r="AY17" s="319"/>
      <c r="AZ17" s="499">
        <v>17500</v>
      </c>
      <c r="BA17" s="319"/>
      <c r="BB17" s="499">
        <v>5750</v>
      </c>
      <c r="BC17" s="319"/>
      <c r="BD17" s="499">
        <v>0</v>
      </c>
      <c r="BE17" s="319"/>
      <c r="BF17" s="319"/>
      <c r="BG17" s="319"/>
      <c r="BH17" s="499">
        <v>17500</v>
      </c>
      <c r="BI17" s="319"/>
      <c r="BJ17" s="499">
        <v>5750</v>
      </c>
      <c r="BK17" s="319"/>
      <c r="BL17" s="499">
        <v>6705</v>
      </c>
      <c r="BM17" s="319"/>
      <c r="BN17" s="499"/>
      <c r="BO17" s="319"/>
      <c r="BP17" s="499">
        <v>190</v>
      </c>
      <c r="BQ17" s="319"/>
      <c r="BR17" s="499">
        <v>25000</v>
      </c>
      <c r="BS17" s="319"/>
      <c r="BT17" s="499">
        <v>865</v>
      </c>
      <c r="BU17" s="319"/>
      <c r="BV17" s="499">
        <v>7500</v>
      </c>
      <c r="BW17" s="319"/>
      <c r="BX17" s="499">
        <v>7760</v>
      </c>
      <c r="BY17" s="319"/>
      <c r="BZ17" s="499">
        <v>32500</v>
      </c>
      <c r="CA17" s="319"/>
      <c r="CB17" s="499">
        <v>25421.1</v>
      </c>
      <c r="CC17" s="319"/>
      <c r="CD17" s="499">
        <v>38250</v>
      </c>
      <c r="CE17" s="319"/>
      <c r="CF17" s="499">
        <v>0</v>
      </c>
      <c r="CG17" s="319"/>
      <c r="CH17" s="319"/>
      <c r="CI17" s="319"/>
      <c r="CJ17" s="499">
        <v>0</v>
      </c>
      <c r="CK17" s="319"/>
      <c r="CL17" s="319"/>
      <c r="CM17" s="319"/>
      <c r="CN17" s="499">
        <v>0</v>
      </c>
      <c r="CO17" s="319"/>
      <c r="CP17" s="319"/>
      <c r="CQ17" s="319"/>
      <c r="CR17" s="499">
        <v>0</v>
      </c>
      <c r="CS17" s="319"/>
      <c r="CT17" s="319"/>
      <c r="CU17" s="319"/>
      <c r="CV17" s="499">
        <v>0</v>
      </c>
      <c r="CW17" s="319"/>
      <c r="CX17" s="499">
        <v>0</v>
      </c>
      <c r="CY17" s="319"/>
      <c r="CZ17" s="499">
        <v>62550.6</v>
      </c>
      <c r="DA17" s="319"/>
      <c r="DB17" s="499">
        <v>128250</v>
      </c>
    </row>
    <row r="18" spans="1:106" x14ac:dyDescent="0.25">
      <c r="A18" s="496"/>
      <c r="B18" s="496"/>
      <c r="C18" s="496"/>
      <c r="D18" s="496"/>
      <c r="E18" s="496" t="s">
        <v>160</v>
      </c>
      <c r="F18" s="496"/>
      <c r="G18" s="496"/>
      <c r="H18" s="499"/>
      <c r="I18" s="319"/>
      <c r="J18" s="499"/>
      <c r="K18" s="319"/>
      <c r="L18" s="499"/>
      <c r="M18" s="319"/>
      <c r="N18" s="499"/>
      <c r="O18" s="319"/>
      <c r="P18" s="499"/>
      <c r="Q18" s="319"/>
      <c r="R18" s="499"/>
      <c r="S18" s="319"/>
      <c r="T18" s="499"/>
      <c r="U18" s="319"/>
      <c r="V18" s="499"/>
      <c r="W18" s="319"/>
      <c r="X18" s="499"/>
      <c r="Y18" s="319"/>
      <c r="Z18" s="499"/>
      <c r="AA18" s="319"/>
      <c r="AB18" s="499"/>
      <c r="AC18" s="319"/>
      <c r="AD18" s="499"/>
      <c r="AE18" s="319"/>
      <c r="AF18" s="499"/>
      <c r="AG18" s="319"/>
      <c r="AH18" s="319"/>
      <c r="AI18" s="319"/>
      <c r="AJ18" s="499"/>
      <c r="AK18" s="319"/>
      <c r="AL18" s="499"/>
      <c r="AM18" s="319"/>
      <c r="AN18" s="499"/>
      <c r="AO18" s="319"/>
      <c r="AP18" s="499"/>
      <c r="AQ18" s="319"/>
      <c r="AR18" s="499"/>
      <c r="AS18" s="319"/>
      <c r="AT18" s="499"/>
      <c r="AU18" s="319"/>
      <c r="AV18" s="499"/>
      <c r="AW18" s="319"/>
      <c r="AX18" s="499"/>
      <c r="AY18" s="319"/>
      <c r="AZ18" s="499"/>
      <c r="BA18" s="319"/>
      <c r="BB18" s="499"/>
      <c r="BC18" s="319"/>
      <c r="BD18" s="499"/>
      <c r="BE18" s="319"/>
      <c r="BF18" s="319"/>
      <c r="BG18" s="319"/>
      <c r="BH18" s="499"/>
      <c r="BI18" s="319"/>
      <c r="BJ18" s="499"/>
      <c r="BK18" s="319"/>
      <c r="BL18" s="499"/>
      <c r="BM18" s="319"/>
      <c r="BN18" s="499"/>
      <c r="BO18" s="319"/>
      <c r="BP18" s="499"/>
      <c r="BQ18" s="319"/>
      <c r="BR18" s="499"/>
      <c r="BS18" s="319"/>
      <c r="BT18" s="499"/>
      <c r="BU18" s="319"/>
      <c r="BV18" s="499"/>
      <c r="BW18" s="319"/>
      <c r="BX18" s="499"/>
      <c r="BY18" s="319"/>
      <c r="BZ18" s="499"/>
      <c r="CA18" s="319"/>
      <c r="CB18" s="499"/>
      <c r="CC18" s="319"/>
      <c r="CD18" s="499"/>
      <c r="CE18" s="319"/>
      <c r="CF18" s="499"/>
      <c r="CG18" s="319"/>
      <c r="CH18" s="319"/>
      <c r="CI18" s="319"/>
      <c r="CJ18" s="499"/>
      <c r="CK18" s="319"/>
      <c r="CL18" s="319"/>
      <c r="CM18" s="319"/>
      <c r="CN18" s="499"/>
      <c r="CO18" s="319"/>
      <c r="CP18" s="319"/>
      <c r="CQ18" s="319"/>
      <c r="CR18" s="499"/>
      <c r="CS18" s="319"/>
      <c r="CT18" s="319"/>
      <c r="CU18" s="319"/>
      <c r="CV18" s="499"/>
      <c r="CW18" s="319"/>
      <c r="CX18" s="499"/>
      <c r="CY18" s="319"/>
      <c r="CZ18" s="499"/>
      <c r="DA18" s="319"/>
      <c r="DB18" s="499"/>
    </row>
    <row r="19" spans="1:106" x14ac:dyDescent="0.25">
      <c r="A19" s="496"/>
      <c r="B19" s="496"/>
      <c r="C19" s="496"/>
      <c r="D19" s="496"/>
      <c r="E19" s="496"/>
      <c r="F19" s="496" t="s">
        <v>162</v>
      </c>
      <c r="G19" s="496"/>
      <c r="H19" s="499">
        <v>0</v>
      </c>
      <c r="I19" s="319"/>
      <c r="J19" s="499"/>
      <c r="K19" s="319"/>
      <c r="L19" s="499">
        <v>0</v>
      </c>
      <c r="M19" s="319"/>
      <c r="N19" s="499"/>
      <c r="O19" s="319"/>
      <c r="P19" s="499">
        <v>0</v>
      </c>
      <c r="Q19" s="319"/>
      <c r="R19" s="499"/>
      <c r="S19" s="319"/>
      <c r="T19" s="499">
        <v>734.35</v>
      </c>
      <c r="U19" s="319"/>
      <c r="V19" s="499">
        <v>3000</v>
      </c>
      <c r="W19" s="319"/>
      <c r="X19" s="499">
        <v>0</v>
      </c>
      <c r="Y19" s="319"/>
      <c r="Z19" s="499"/>
      <c r="AA19" s="319"/>
      <c r="AB19" s="499">
        <v>0</v>
      </c>
      <c r="AC19" s="319"/>
      <c r="AD19" s="499"/>
      <c r="AE19" s="319"/>
      <c r="AF19" s="499">
        <v>0</v>
      </c>
      <c r="AG19" s="319"/>
      <c r="AH19" s="319"/>
      <c r="AI19" s="319"/>
      <c r="AJ19" s="499">
        <v>0</v>
      </c>
      <c r="AK19" s="319"/>
      <c r="AL19" s="499"/>
      <c r="AM19" s="319"/>
      <c r="AN19" s="499">
        <v>0</v>
      </c>
      <c r="AO19" s="319"/>
      <c r="AP19" s="499"/>
      <c r="AQ19" s="319"/>
      <c r="AR19" s="499">
        <v>0</v>
      </c>
      <c r="AS19" s="319"/>
      <c r="AT19" s="499"/>
      <c r="AU19" s="319"/>
      <c r="AV19" s="499">
        <v>0</v>
      </c>
      <c r="AW19" s="319"/>
      <c r="AX19" s="499"/>
      <c r="AY19" s="319"/>
      <c r="AZ19" s="499">
        <v>0</v>
      </c>
      <c r="BA19" s="319"/>
      <c r="BB19" s="499"/>
      <c r="BC19" s="319"/>
      <c r="BD19" s="499">
        <v>0</v>
      </c>
      <c r="BE19" s="319"/>
      <c r="BF19" s="319"/>
      <c r="BG19" s="319"/>
      <c r="BH19" s="499">
        <v>0</v>
      </c>
      <c r="BI19" s="319"/>
      <c r="BJ19" s="499"/>
      <c r="BK19" s="319"/>
      <c r="BL19" s="499">
        <v>0</v>
      </c>
      <c r="BM19" s="319"/>
      <c r="BN19" s="499"/>
      <c r="BO19" s="319"/>
      <c r="BP19" s="499">
        <v>0</v>
      </c>
      <c r="BQ19" s="319"/>
      <c r="BR19" s="499"/>
      <c r="BS19" s="319"/>
      <c r="BT19" s="499">
        <v>0</v>
      </c>
      <c r="BU19" s="319"/>
      <c r="BV19" s="499"/>
      <c r="BW19" s="319"/>
      <c r="BX19" s="499">
        <v>0</v>
      </c>
      <c r="BY19" s="319"/>
      <c r="BZ19" s="499"/>
      <c r="CA19" s="319"/>
      <c r="CB19" s="499">
        <v>0</v>
      </c>
      <c r="CC19" s="319"/>
      <c r="CD19" s="499"/>
      <c r="CE19" s="319"/>
      <c r="CF19" s="499">
        <v>0</v>
      </c>
      <c r="CG19" s="319"/>
      <c r="CH19" s="319"/>
      <c r="CI19" s="319"/>
      <c r="CJ19" s="499">
        <v>0</v>
      </c>
      <c r="CK19" s="319"/>
      <c r="CL19" s="319"/>
      <c r="CM19" s="319"/>
      <c r="CN19" s="499">
        <v>0</v>
      </c>
      <c r="CO19" s="319"/>
      <c r="CP19" s="319"/>
      <c r="CQ19" s="319"/>
      <c r="CR19" s="499">
        <v>0</v>
      </c>
      <c r="CS19" s="319"/>
      <c r="CT19" s="319"/>
      <c r="CU19" s="319"/>
      <c r="CV19" s="499">
        <v>0</v>
      </c>
      <c r="CW19" s="319"/>
      <c r="CX19" s="499">
        <v>0</v>
      </c>
      <c r="CY19" s="319"/>
      <c r="CZ19" s="499">
        <v>734.35</v>
      </c>
      <c r="DA19" s="319"/>
      <c r="DB19" s="499">
        <v>3000</v>
      </c>
    </row>
    <row r="20" spans="1:106" x14ac:dyDescent="0.25">
      <c r="A20" s="496"/>
      <c r="B20" s="496"/>
      <c r="C20" s="496"/>
      <c r="D20" s="496"/>
      <c r="E20" s="496"/>
      <c r="F20" s="496" t="s">
        <v>163</v>
      </c>
      <c r="G20" s="496"/>
      <c r="H20" s="499">
        <v>0</v>
      </c>
      <c r="I20" s="319"/>
      <c r="J20" s="499"/>
      <c r="K20" s="319"/>
      <c r="L20" s="499">
        <v>0</v>
      </c>
      <c r="M20" s="319"/>
      <c r="N20" s="499"/>
      <c r="O20" s="319"/>
      <c r="P20" s="499">
        <v>0</v>
      </c>
      <c r="Q20" s="319"/>
      <c r="R20" s="499"/>
      <c r="S20" s="319"/>
      <c r="T20" s="499">
        <v>138.59</v>
      </c>
      <c r="U20" s="319"/>
      <c r="V20" s="499"/>
      <c r="W20" s="319"/>
      <c r="X20" s="499">
        <v>0</v>
      </c>
      <c r="Y20" s="319"/>
      <c r="Z20" s="499"/>
      <c r="AA20" s="319"/>
      <c r="AB20" s="499">
        <v>0</v>
      </c>
      <c r="AC20" s="319"/>
      <c r="AD20" s="499"/>
      <c r="AE20" s="319"/>
      <c r="AF20" s="499">
        <v>0</v>
      </c>
      <c r="AG20" s="319"/>
      <c r="AH20" s="319"/>
      <c r="AI20" s="319"/>
      <c r="AJ20" s="499">
        <v>0</v>
      </c>
      <c r="AK20" s="319"/>
      <c r="AL20" s="499"/>
      <c r="AM20" s="319"/>
      <c r="AN20" s="499">
        <v>0</v>
      </c>
      <c r="AO20" s="319"/>
      <c r="AP20" s="499"/>
      <c r="AQ20" s="319"/>
      <c r="AR20" s="499">
        <v>0</v>
      </c>
      <c r="AS20" s="319"/>
      <c r="AT20" s="499"/>
      <c r="AU20" s="319"/>
      <c r="AV20" s="499">
        <v>0</v>
      </c>
      <c r="AW20" s="319"/>
      <c r="AX20" s="499"/>
      <c r="AY20" s="319"/>
      <c r="AZ20" s="499">
        <v>0</v>
      </c>
      <c r="BA20" s="319"/>
      <c r="BB20" s="499"/>
      <c r="BC20" s="319"/>
      <c r="BD20" s="499">
        <v>0</v>
      </c>
      <c r="BE20" s="319"/>
      <c r="BF20" s="319"/>
      <c r="BG20" s="319"/>
      <c r="BH20" s="499">
        <v>0</v>
      </c>
      <c r="BI20" s="319"/>
      <c r="BJ20" s="499"/>
      <c r="BK20" s="319"/>
      <c r="BL20" s="499">
        <v>0</v>
      </c>
      <c r="BM20" s="319"/>
      <c r="BN20" s="499"/>
      <c r="BO20" s="319"/>
      <c r="BP20" s="499">
        <v>0</v>
      </c>
      <c r="BQ20" s="319"/>
      <c r="BR20" s="499"/>
      <c r="BS20" s="319"/>
      <c r="BT20" s="499">
        <v>0</v>
      </c>
      <c r="BU20" s="319"/>
      <c r="BV20" s="499"/>
      <c r="BW20" s="319"/>
      <c r="BX20" s="499">
        <v>0</v>
      </c>
      <c r="BY20" s="319"/>
      <c r="BZ20" s="499"/>
      <c r="CA20" s="319"/>
      <c r="CB20" s="499">
        <v>0</v>
      </c>
      <c r="CC20" s="319"/>
      <c r="CD20" s="499"/>
      <c r="CE20" s="319"/>
      <c r="CF20" s="499">
        <v>0</v>
      </c>
      <c r="CG20" s="319"/>
      <c r="CH20" s="319"/>
      <c r="CI20" s="319"/>
      <c r="CJ20" s="499">
        <v>0</v>
      </c>
      <c r="CK20" s="319"/>
      <c r="CL20" s="319"/>
      <c r="CM20" s="319"/>
      <c r="CN20" s="499">
        <v>0</v>
      </c>
      <c r="CO20" s="319"/>
      <c r="CP20" s="319"/>
      <c r="CQ20" s="319"/>
      <c r="CR20" s="499">
        <v>0</v>
      </c>
      <c r="CS20" s="319"/>
      <c r="CT20" s="319"/>
      <c r="CU20" s="319"/>
      <c r="CV20" s="499">
        <v>0</v>
      </c>
      <c r="CW20" s="319"/>
      <c r="CX20" s="499">
        <v>0</v>
      </c>
      <c r="CY20" s="319"/>
      <c r="CZ20" s="499">
        <v>138.59</v>
      </c>
      <c r="DA20" s="319"/>
      <c r="DB20" s="499">
        <v>0</v>
      </c>
    </row>
    <row r="21" spans="1:106" x14ac:dyDescent="0.25">
      <c r="A21" s="496"/>
      <c r="B21" s="496"/>
      <c r="C21" s="496"/>
      <c r="D21" s="496"/>
      <c r="E21" s="496"/>
      <c r="F21" s="496" t="s">
        <v>164</v>
      </c>
      <c r="G21" s="496"/>
      <c r="H21" s="499">
        <v>0</v>
      </c>
      <c r="I21" s="319"/>
      <c r="J21" s="499"/>
      <c r="K21" s="319"/>
      <c r="L21" s="499">
        <v>0</v>
      </c>
      <c r="M21" s="319"/>
      <c r="N21" s="499">
        <v>6400</v>
      </c>
      <c r="O21" s="319"/>
      <c r="P21" s="499">
        <v>0</v>
      </c>
      <c r="Q21" s="319"/>
      <c r="R21" s="499">
        <v>6400</v>
      </c>
      <c r="S21" s="319"/>
      <c r="T21" s="499">
        <v>0</v>
      </c>
      <c r="U21" s="319"/>
      <c r="V21" s="499"/>
      <c r="W21" s="319"/>
      <c r="X21" s="499">
        <v>0</v>
      </c>
      <c r="Y21" s="319"/>
      <c r="Z21" s="499"/>
      <c r="AA21" s="319"/>
      <c r="AB21" s="499">
        <v>0</v>
      </c>
      <c r="AC21" s="319"/>
      <c r="AD21" s="499"/>
      <c r="AE21" s="319"/>
      <c r="AF21" s="499">
        <v>0</v>
      </c>
      <c r="AG21" s="319"/>
      <c r="AH21" s="319"/>
      <c r="AI21" s="319"/>
      <c r="AJ21" s="499">
        <v>0</v>
      </c>
      <c r="AK21" s="319"/>
      <c r="AL21" s="499"/>
      <c r="AM21" s="319"/>
      <c r="AN21" s="499">
        <v>0</v>
      </c>
      <c r="AO21" s="319"/>
      <c r="AP21" s="499"/>
      <c r="AQ21" s="319"/>
      <c r="AR21" s="499">
        <v>0</v>
      </c>
      <c r="AS21" s="319"/>
      <c r="AT21" s="499"/>
      <c r="AU21" s="319"/>
      <c r="AV21" s="499">
        <v>0</v>
      </c>
      <c r="AW21" s="319"/>
      <c r="AX21" s="499"/>
      <c r="AY21" s="319"/>
      <c r="AZ21" s="499">
        <v>0</v>
      </c>
      <c r="BA21" s="319"/>
      <c r="BB21" s="499"/>
      <c r="BC21" s="319"/>
      <c r="BD21" s="499">
        <v>0</v>
      </c>
      <c r="BE21" s="319"/>
      <c r="BF21" s="319"/>
      <c r="BG21" s="319"/>
      <c r="BH21" s="499">
        <v>0</v>
      </c>
      <c r="BI21" s="319"/>
      <c r="BJ21" s="499"/>
      <c r="BK21" s="319"/>
      <c r="BL21" s="499">
        <v>0</v>
      </c>
      <c r="BM21" s="319"/>
      <c r="BN21" s="499"/>
      <c r="BO21" s="319"/>
      <c r="BP21" s="499">
        <v>0</v>
      </c>
      <c r="BQ21" s="319"/>
      <c r="BR21" s="499"/>
      <c r="BS21" s="319"/>
      <c r="BT21" s="499">
        <v>0</v>
      </c>
      <c r="BU21" s="319"/>
      <c r="BV21" s="499"/>
      <c r="BW21" s="319"/>
      <c r="BX21" s="499">
        <v>0</v>
      </c>
      <c r="BY21" s="319"/>
      <c r="BZ21" s="499"/>
      <c r="CA21" s="319"/>
      <c r="CB21" s="499">
        <v>0</v>
      </c>
      <c r="CC21" s="319"/>
      <c r="CD21" s="499"/>
      <c r="CE21" s="319"/>
      <c r="CF21" s="499">
        <v>0</v>
      </c>
      <c r="CG21" s="319"/>
      <c r="CH21" s="319"/>
      <c r="CI21" s="319"/>
      <c r="CJ21" s="499">
        <v>0</v>
      </c>
      <c r="CK21" s="319"/>
      <c r="CL21" s="319"/>
      <c r="CM21" s="319"/>
      <c r="CN21" s="499">
        <v>0</v>
      </c>
      <c r="CO21" s="319"/>
      <c r="CP21" s="319"/>
      <c r="CQ21" s="319"/>
      <c r="CR21" s="499">
        <v>0</v>
      </c>
      <c r="CS21" s="319"/>
      <c r="CT21" s="319"/>
      <c r="CU21" s="319"/>
      <c r="CV21" s="499">
        <v>0</v>
      </c>
      <c r="CW21" s="319"/>
      <c r="CX21" s="499">
        <v>0</v>
      </c>
      <c r="CY21" s="319"/>
      <c r="CZ21" s="499">
        <v>0</v>
      </c>
      <c r="DA21" s="319"/>
      <c r="DB21" s="499">
        <v>6400</v>
      </c>
    </row>
    <row r="22" spans="1:106" x14ac:dyDescent="0.25">
      <c r="A22" s="496"/>
      <c r="B22" s="496"/>
      <c r="C22" s="496"/>
      <c r="D22" s="496"/>
      <c r="E22" s="496"/>
      <c r="F22" s="496" t="s">
        <v>165</v>
      </c>
      <c r="G22" s="496"/>
      <c r="H22" s="499">
        <v>0</v>
      </c>
      <c r="I22" s="319"/>
      <c r="J22" s="499"/>
      <c r="K22" s="319"/>
      <c r="L22" s="499">
        <v>0</v>
      </c>
      <c r="M22" s="319"/>
      <c r="N22" s="499"/>
      <c r="O22" s="319"/>
      <c r="P22" s="499">
        <v>0</v>
      </c>
      <c r="Q22" s="319"/>
      <c r="R22" s="499"/>
      <c r="S22" s="319"/>
      <c r="T22" s="499">
        <v>0</v>
      </c>
      <c r="U22" s="319"/>
      <c r="V22" s="499"/>
      <c r="W22" s="319"/>
      <c r="X22" s="499">
        <v>0</v>
      </c>
      <c r="Y22" s="319"/>
      <c r="Z22" s="499"/>
      <c r="AA22" s="319"/>
      <c r="AB22" s="499">
        <v>0</v>
      </c>
      <c r="AC22" s="319"/>
      <c r="AD22" s="499"/>
      <c r="AE22" s="319"/>
      <c r="AF22" s="499">
        <v>0</v>
      </c>
      <c r="AG22" s="319"/>
      <c r="AH22" s="319"/>
      <c r="AI22" s="319"/>
      <c r="AJ22" s="499">
        <v>0</v>
      </c>
      <c r="AK22" s="319"/>
      <c r="AL22" s="499"/>
      <c r="AM22" s="319"/>
      <c r="AN22" s="499">
        <v>0</v>
      </c>
      <c r="AO22" s="319"/>
      <c r="AP22" s="499"/>
      <c r="AQ22" s="319"/>
      <c r="AR22" s="499">
        <v>0</v>
      </c>
      <c r="AS22" s="319"/>
      <c r="AT22" s="499"/>
      <c r="AU22" s="319"/>
      <c r="AV22" s="499">
        <v>0</v>
      </c>
      <c r="AW22" s="319"/>
      <c r="AX22" s="499"/>
      <c r="AY22" s="319"/>
      <c r="AZ22" s="499">
        <v>0</v>
      </c>
      <c r="BA22" s="319"/>
      <c r="BB22" s="499"/>
      <c r="BC22" s="319"/>
      <c r="BD22" s="499">
        <v>0</v>
      </c>
      <c r="BE22" s="319"/>
      <c r="BF22" s="319"/>
      <c r="BG22" s="319"/>
      <c r="BH22" s="499">
        <v>0</v>
      </c>
      <c r="BI22" s="319"/>
      <c r="BJ22" s="499"/>
      <c r="BK22" s="319"/>
      <c r="BL22" s="499">
        <v>0</v>
      </c>
      <c r="BM22" s="319"/>
      <c r="BN22" s="499"/>
      <c r="BO22" s="319"/>
      <c r="BP22" s="499">
        <v>0</v>
      </c>
      <c r="BQ22" s="319"/>
      <c r="BR22" s="499"/>
      <c r="BS22" s="319"/>
      <c r="BT22" s="499">
        <v>0</v>
      </c>
      <c r="BU22" s="319"/>
      <c r="BV22" s="499"/>
      <c r="BW22" s="319"/>
      <c r="BX22" s="499">
        <v>0</v>
      </c>
      <c r="BY22" s="319"/>
      <c r="BZ22" s="499"/>
      <c r="CA22" s="319"/>
      <c r="CB22" s="499">
        <v>0</v>
      </c>
      <c r="CC22" s="319"/>
      <c r="CD22" s="499"/>
      <c r="CE22" s="319"/>
      <c r="CF22" s="499">
        <v>0</v>
      </c>
      <c r="CG22" s="319"/>
      <c r="CH22" s="319"/>
      <c r="CI22" s="319"/>
      <c r="CJ22" s="499">
        <v>0</v>
      </c>
      <c r="CK22" s="319"/>
      <c r="CL22" s="319"/>
      <c r="CM22" s="319"/>
      <c r="CN22" s="499">
        <v>0</v>
      </c>
      <c r="CO22" s="319"/>
      <c r="CP22" s="319"/>
      <c r="CQ22" s="319"/>
      <c r="CR22" s="499">
        <v>0</v>
      </c>
      <c r="CS22" s="319"/>
      <c r="CT22" s="319"/>
      <c r="CU22" s="319"/>
      <c r="CV22" s="499">
        <v>0</v>
      </c>
      <c r="CW22" s="319"/>
      <c r="CX22" s="499">
        <v>0</v>
      </c>
      <c r="CY22" s="319"/>
      <c r="CZ22" s="499">
        <v>0</v>
      </c>
      <c r="DA22" s="319"/>
      <c r="DB22" s="499">
        <v>0</v>
      </c>
    </row>
    <row r="23" spans="1:106" x14ac:dyDescent="0.25">
      <c r="A23" s="496"/>
      <c r="B23" s="496"/>
      <c r="C23" s="496"/>
      <c r="D23" s="496"/>
      <c r="E23" s="496"/>
      <c r="F23" s="496" t="s">
        <v>166</v>
      </c>
      <c r="G23" s="496"/>
      <c r="H23" s="499"/>
      <c r="I23" s="319"/>
      <c r="J23" s="499"/>
      <c r="K23" s="319"/>
      <c r="L23" s="499"/>
      <c r="M23" s="319"/>
      <c r="N23" s="499"/>
      <c r="O23" s="319"/>
      <c r="P23" s="499"/>
      <c r="Q23" s="319"/>
      <c r="R23" s="499"/>
      <c r="S23" s="319"/>
      <c r="T23" s="499"/>
      <c r="U23" s="319"/>
      <c r="V23" s="499"/>
      <c r="W23" s="319"/>
      <c r="X23" s="499"/>
      <c r="Y23" s="319"/>
      <c r="Z23" s="499"/>
      <c r="AA23" s="319"/>
      <c r="AB23" s="499"/>
      <c r="AC23" s="319"/>
      <c r="AD23" s="499"/>
      <c r="AE23" s="319"/>
      <c r="AF23" s="499"/>
      <c r="AG23" s="319"/>
      <c r="AH23" s="319"/>
      <c r="AI23" s="319"/>
      <c r="AJ23" s="499"/>
      <c r="AK23" s="319"/>
      <c r="AL23" s="499"/>
      <c r="AM23" s="319"/>
      <c r="AN23" s="499"/>
      <c r="AO23" s="319"/>
      <c r="AP23" s="499"/>
      <c r="AQ23" s="319"/>
      <c r="AR23" s="499"/>
      <c r="AS23" s="319"/>
      <c r="AT23" s="499"/>
      <c r="AU23" s="319"/>
      <c r="AV23" s="499"/>
      <c r="AW23" s="319"/>
      <c r="AX23" s="499"/>
      <c r="AY23" s="319"/>
      <c r="AZ23" s="499"/>
      <c r="BA23" s="319"/>
      <c r="BB23" s="499"/>
      <c r="BC23" s="319"/>
      <c r="BD23" s="499"/>
      <c r="BE23" s="319"/>
      <c r="BF23" s="319"/>
      <c r="BG23" s="319"/>
      <c r="BH23" s="499"/>
      <c r="BI23" s="319"/>
      <c r="BJ23" s="499"/>
      <c r="BK23" s="319"/>
      <c r="BL23" s="499"/>
      <c r="BM23" s="319"/>
      <c r="BN23" s="499"/>
      <c r="BO23" s="319"/>
      <c r="BP23" s="499"/>
      <c r="BQ23" s="319"/>
      <c r="BR23" s="499"/>
      <c r="BS23" s="319"/>
      <c r="BT23" s="499"/>
      <c r="BU23" s="319"/>
      <c r="BV23" s="499"/>
      <c r="BW23" s="319"/>
      <c r="BX23" s="499"/>
      <c r="BY23" s="319"/>
      <c r="BZ23" s="499"/>
      <c r="CA23" s="319"/>
      <c r="CB23" s="499"/>
      <c r="CC23" s="319"/>
      <c r="CD23" s="499"/>
      <c r="CE23" s="319"/>
      <c r="CF23" s="499"/>
      <c r="CG23" s="319"/>
      <c r="CH23" s="319"/>
      <c r="CI23" s="319"/>
      <c r="CJ23" s="499"/>
      <c r="CK23" s="319"/>
      <c r="CL23" s="319"/>
      <c r="CM23" s="319"/>
      <c r="CN23" s="499"/>
      <c r="CO23" s="319"/>
      <c r="CP23" s="319"/>
      <c r="CQ23" s="319"/>
      <c r="CR23" s="499"/>
      <c r="CS23" s="319"/>
      <c r="CT23" s="319"/>
      <c r="CU23" s="319"/>
      <c r="CV23" s="499"/>
      <c r="CW23" s="319"/>
      <c r="CX23" s="499"/>
      <c r="CY23" s="319"/>
      <c r="CZ23" s="499"/>
      <c r="DA23" s="319"/>
      <c r="DB23" s="499"/>
    </row>
    <row r="24" spans="1:106" x14ac:dyDescent="0.25">
      <c r="A24" s="496"/>
      <c r="B24" s="496"/>
      <c r="C24" s="496"/>
      <c r="D24" s="496"/>
      <c r="E24" s="496"/>
      <c r="F24" s="496"/>
      <c r="G24" s="496" t="s">
        <v>167</v>
      </c>
      <c r="H24" s="499">
        <v>0</v>
      </c>
      <c r="I24" s="319"/>
      <c r="J24" s="499"/>
      <c r="K24" s="319"/>
      <c r="L24" s="499">
        <v>0</v>
      </c>
      <c r="M24" s="319"/>
      <c r="N24" s="499"/>
      <c r="O24" s="319"/>
      <c r="P24" s="499">
        <v>0</v>
      </c>
      <c r="Q24" s="319"/>
      <c r="R24" s="499"/>
      <c r="S24" s="319"/>
      <c r="T24" s="499">
        <v>0</v>
      </c>
      <c r="U24" s="319"/>
      <c r="V24" s="499"/>
      <c r="W24" s="319"/>
      <c r="X24" s="499">
        <v>0</v>
      </c>
      <c r="Y24" s="319"/>
      <c r="Z24" s="499"/>
      <c r="AA24" s="319"/>
      <c r="AB24" s="499">
        <v>0</v>
      </c>
      <c r="AC24" s="319"/>
      <c r="AD24" s="499"/>
      <c r="AE24" s="319"/>
      <c r="AF24" s="499">
        <v>0</v>
      </c>
      <c r="AG24" s="319"/>
      <c r="AH24" s="319"/>
      <c r="AI24" s="319"/>
      <c r="AJ24" s="499">
        <v>0</v>
      </c>
      <c r="AK24" s="319"/>
      <c r="AL24" s="499"/>
      <c r="AM24" s="319"/>
      <c r="AN24" s="499">
        <v>0</v>
      </c>
      <c r="AO24" s="319"/>
      <c r="AP24" s="499"/>
      <c r="AQ24" s="319"/>
      <c r="AR24" s="499">
        <v>0</v>
      </c>
      <c r="AS24" s="319"/>
      <c r="AT24" s="499"/>
      <c r="AU24" s="319"/>
      <c r="AV24" s="499">
        <v>16193.72</v>
      </c>
      <c r="AW24" s="319"/>
      <c r="AX24" s="499">
        <v>25000</v>
      </c>
      <c r="AY24" s="319"/>
      <c r="AZ24" s="499">
        <v>0</v>
      </c>
      <c r="BA24" s="319"/>
      <c r="BB24" s="499"/>
      <c r="BC24" s="319"/>
      <c r="BD24" s="499">
        <v>0</v>
      </c>
      <c r="BE24" s="319"/>
      <c r="BF24" s="319"/>
      <c r="BG24" s="319"/>
      <c r="BH24" s="499">
        <v>16193.72</v>
      </c>
      <c r="BI24" s="319"/>
      <c r="BJ24" s="499">
        <v>25000</v>
      </c>
      <c r="BK24" s="319"/>
      <c r="BL24" s="499">
        <v>0</v>
      </c>
      <c r="BM24" s="319"/>
      <c r="BN24" s="499"/>
      <c r="BO24" s="319"/>
      <c r="BP24" s="499">
        <v>0</v>
      </c>
      <c r="BQ24" s="319"/>
      <c r="BR24" s="499"/>
      <c r="BS24" s="319"/>
      <c r="BT24" s="499">
        <v>0</v>
      </c>
      <c r="BU24" s="319"/>
      <c r="BV24" s="499"/>
      <c r="BW24" s="319"/>
      <c r="BX24" s="499">
        <v>0</v>
      </c>
      <c r="BY24" s="319"/>
      <c r="BZ24" s="499"/>
      <c r="CA24" s="319"/>
      <c r="CB24" s="499">
        <v>16193.72</v>
      </c>
      <c r="CC24" s="319"/>
      <c r="CD24" s="499">
        <v>25000</v>
      </c>
      <c r="CE24" s="319"/>
      <c r="CF24" s="499">
        <v>0</v>
      </c>
      <c r="CG24" s="319"/>
      <c r="CH24" s="319"/>
      <c r="CI24" s="319"/>
      <c r="CJ24" s="499">
        <v>0</v>
      </c>
      <c r="CK24" s="319"/>
      <c r="CL24" s="319"/>
      <c r="CM24" s="319"/>
      <c r="CN24" s="499">
        <v>0</v>
      </c>
      <c r="CO24" s="319"/>
      <c r="CP24" s="319"/>
      <c r="CQ24" s="319"/>
      <c r="CR24" s="499">
        <v>0</v>
      </c>
      <c r="CS24" s="319"/>
      <c r="CT24" s="319"/>
      <c r="CU24" s="319"/>
      <c r="CV24" s="499">
        <v>0</v>
      </c>
      <c r="CW24" s="319"/>
      <c r="CX24" s="499">
        <v>0</v>
      </c>
      <c r="CY24" s="319"/>
      <c r="CZ24" s="499">
        <v>16193.72</v>
      </c>
      <c r="DA24" s="319"/>
      <c r="DB24" s="499">
        <v>25000</v>
      </c>
    </row>
    <row r="25" spans="1:106" x14ac:dyDescent="0.25">
      <c r="A25" s="496"/>
      <c r="B25" s="496"/>
      <c r="C25" s="496"/>
      <c r="D25" s="496"/>
      <c r="E25" s="496"/>
      <c r="F25" s="496"/>
      <c r="G25" s="496" t="s">
        <v>168</v>
      </c>
      <c r="H25" s="499">
        <v>0</v>
      </c>
      <c r="I25" s="319"/>
      <c r="J25" s="499"/>
      <c r="K25" s="319"/>
      <c r="L25" s="499">
        <v>0</v>
      </c>
      <c r="M25" s="319"/>
      <c r="N25" s="499"/>
      <c r="O25" s="319"/>
      <c r="P25" s="499">
        <v>0</v>
      </c>
      <c r="Q25" s="319"/>
      <c r="R25" s="499"/>
      <c r="S25" s="319"/>
      <c r="T25" s="499">
        <v>0</v>
      </c>
      <c r="U25" s="319"/>
      <c r="V25" s="499"/>
      <c r="W25" s="319"/>
      <c r="X25" s="499">
        <v>0</v>
      </c>
      <c r="Y25" s="319"/>
      <c r="Z25" s="499"/>
      <c r="AA25" s="319"/>
      <c r="AB25" s="499">
        <v>0</v>
      </c>
      <c r="AC25" s="319"/>
      <c r="AD25" s="499"/>
      <c r="AE25" s="319"/>
      <c r="AF25" s="499">
        <v>0</v>
      </c>
      <c r="AG25" s="319"/>
      <c r="AH25" s="319"/>
      <c r="AI25" s="319"/>
      <c r="AJ25" s="499">
        <v>0</v>
      </c>
      <c r="AK25" s="319"/>
      <c r="AL25" s="499"/>
      <c r="AM25" s="319"/>
      <c r="AN25" s="499">
        <v>0</v>
      </c>
      <c r="AO25" s="319"/>
      <c r="AP25" s="499"/>
      <c r="AQ25" s="319"/>
      <c r="AR25" s="499">
        <v>0</v>
      </c>
      <c r="AS25" s="319"/>
      <c r="AT25" s="499"/>
      <c r="AU25" s="319"/>
      <c r="AV25" s="499">
        <v>400</v>
      </c>
      <c r="AW25" s="319"/>
      <c r="AX25" s="499"/>
      <c r="AY25" s="319"/>
      <c r="AZ25" s="499">
        <v>55890</v>
      </c>
      <c r="BA25" s="319"/>
      <c r="BB25" s="499">
        <v>102500</v>
      </c>
      <c r="BC25" s="319"/>
      <c r="BD25" s="499">
        <v>0</v>
      </c>
      <c r="BE25" s="319"/>
      <c r="BF25" s="319"/>
      <c r="BG25" s="319"/>
      <c r="BH25" s="499">
        <v>56290</v>
      </c>
      <c r="BI25" s="319"/>
      <c r="BJ25" s="499">
        <v>102500</v>
      </c>
      <c r="BK25" s="319"/>
      <c r="BL25" s="499">
        <v>0</v>
      </c>
      <c r="BM25" s="319"/>
      <c r="BN25" s="499"/>
      <c r="BO25" s="319"/>
      <c r="BP25" s="499">
        <v>0</v>
      </c>
      <c r="BQ25" s="319"/>
      <c r="BR25" s="499"/>
      <c r="BS25" s="319"/>
      <c r="BT25" s="499">
        <v>0</v>
      </c>
      <c r="BU25" s="319"/>
      <c r="BV25" s="499"/>
      <c r="BW25" s="319"/>
      <c r="BX25" s="499">
        <v>0</v>
      </c>
      <c r="BY25" s="319"/>
      <c r="BZ25" s="499"/>
      <c r="CA25" s="319"/>
      <c r="CB25" s="499">
        <v>56290</v>
      </c>
      <c r="CC25" s="319"/>
      <c r="CD25" s="499">
        <v>102500</v>
      </c>
      <c r="CE25" s="319"/>
      <c r="CF25" s="499">
        <v>0</v>
      </c>
      <c r="CG25" s="319"/>
      <c r="CH25" s="319"/>
      <c r="CI25" s="319"/>
      <c r="CJ25" s="499">
        <v>0</v>
      </c>
      <c r="CK25" s="319"/>
      <c r="CL25" s="319"/>
      <c r="CM25" s="319"/>
      <c r="CN25" s="499">
        <v>0</v>
      </c>
      <c r="CO25" s="319"/>
      <c r="CP25" s="319"/>
      <c r="CQ25" s="319"/>
      <c r="CR25" s="499">
        <v>0</v>
      </c>
      <c r="CS25" s="319"/>
      <c r="CT25" s="319"/>
      <c r="CU25" s="319"/>
      <c r="CV25" s="499">
        <v>0</v>
      </c>
      <c r="CW25" s="319"/>
      <c r="CX25" s="499">
        <v>0</v>
      </c>
      <c r="CY25" s="319"/>
      <c r="CZ25" s="499">
        <v>56290</v>
      </c>
      <c r="DA25" s="319"/>
      <c r="DB25" s="499">
        <v>102900</v>
      </c>
    </row>
    <row r="26" spans="1:106" ht="15.75" thickBot="1" x14ac:dyDescent="0.3">
      <c r="A26" s="496"/>
      <c r="B26" s="496"/>
      <c r="C26" s="496"/>
      <c r="D26" s="496"/>
      <c r="E26" s="496"/>
      <c r="F26" s="496"/>
      <c r="G26" s="496" t="s">
        <v>169</v>
      </c>
      <c r="H26" s="497">
        <v>0</v>
      </c>
      <c r="I26" s="319"/>
      <c r="J26" s="499"/>
      <c r="K26" s="319"/>
      <c r="L26" s="497">
        <v>0</v>
      </c>
      <c r="M26" s="319"/>
      <c r="N26" s="499"/>
      <c r="O26" s="319"/>
      <c r="P26" s="497">
        <v>0</v>
      </c>
      <c r="Q26" s="319"/>
      <c r="R26" s="499"/>
      <c r="S26" s="319"/>
      <c r="T26" s="497">
        <v>0</v>
      </c>
      <c r="U26" s="319"/>
      <c r="V26" s="499"/>
      <c r="W26" s="319"/>
      <c r="X26" s="497">
        <v>0</v>
      </c>
      <c r="Y26" s="319"/>
      <c r="Z26" s="499"/>
      <c r="AA26" s="319"/>
      <c r="AB26" s="497">
        <v>0</v>
      </c>
      <c r="AC26" s="319"/>
      <c r="AD26" s="499"/>
      <c r="AE26" s="319"/>
      <c r="AF26" s="497">
        <v>0</v>
      </c>
      <c r="AG26" s="319"/>
      <c r="AH26" s="319"/>
      <c r="AI26" s="319"/>
      <c r="AJ26" s="497">
        <v>0</v>
      </c>
      <c r="AK26" s="319"/>
      <c r="AL26" s="499"/>
      <c r="AM26" s="319"/>
      <c r="AN26" s="497">
        <v>0</v>
      </c>
      <c r="AO26" s="319"/>
      <c r="AP26" s="499"/>
      <c r="AQ26" s="319"/>
      <c r="AR26" s="497">
        <v>0</v>
      </c>
      <c r="AS26" s="319"/>
      <c r="AT26" s="499"/>
      <c r="AU26" s="319"/>
      <c r="AV26" s="497">
        <v>0</v>
      </c>
      <c r="AW26" s="319"/>
      <c r="AX26" s="497"/>
      <c r="AY26" s="319"/>
      <c r="AZ26" s="497">
        <v>5600</v>
      </c>
      <c r="BA26" s="319"/>
      <c r="BB26" s="497">
        <v>8000</v>
      </c>
      <c r="BC26" s="319"/>
      <c r="BD26" s="497">
        <v>0</v>
      </c>
      <c r="BE26" s="319"/>
      <c r="BF26" s="319"/>
      <c r="BG26" s="319"/>
      <c r="BH26" s="497">
        <v>5600</v>
      </c>
      <c r="BI26" s="319"/>
      <c r="BJ26" s="497">
        <v>8000</v>
      </c>
      <c r="BK26" s="319"/>
      <c r="BL26" s="497">
        <v>0</v>
      </c>
      <c r="BM26" s="319"/>
      <c r="BN26" s="499"/>
      <c r="BO26" s="319"/>
      <c r="BP26" s="497">
        <v>0</v>
      </c>
      <c r="BQ26" s="319"/>
      <c r="BR26" s="499"/>
      <c r="BS26" s="319"/>
      <c r="BT26" s="497">
        <v>0</v>
      </c>
      <c r="BU26" s="319"/>
      <c r="BV26" s="499"/>
      <c r="BW26" s="319"/>
      <c r="BX26" s="497">
        <v>0</v>
      </c>
      <c r="BY26" s="319"/>
      <c r="BZ26" s="499"/>
      <c r="CA26" s="319"/>
      <c r="CB26" s="497">
        <v>5600</v>
      </c>
      <c r="CC26" s="319"/>
      <c r="CD26" s="497">
        <v>8000</v>
      </c>
      <c r="CE26" s="319"/>
      <c r="CF26" s="497">
        <v>0</v>
      </c>
      <c r="CG26" s="319"/>
      <c r="CH26" s="319"/>
      <c r="CI26" s="319"/>
      <c r="CJ26" s="497">
        <v>0</v>
      </c>
      <c r="CK26" s="319"/>
      <c r="CL26" s="319"/>
      <c r="CM26" s="319"/>
      <c r="CN26" s="497">
        <v>0</v>
      </c>
      <c r="CO26" s="319"/>
      <c r="CP26" s="319"/>
      <c r="CQ26" s="319"/>
      <c r="CR26" s="497">
        <v>0</v>
      </c>
      <c r="CS26" s="319"/>
      <c r="CT26" s="319"/>
      <c r="CU26" s="319"/>
      <c r="CV26" s="497">
        <v>0</v>
      </c>
      <c r="CW26" s="319"/>
      <c r="CX26" s="497">
        <v>0</v>
      </c>
      <c r="CY26" s="319"/>
      <c r="CZ26" s="497">
        <v>5600</v>
      </c>
      <c r="DA26" s="319"/>
      <c r="DB26" s="497">
        <v>8000</v>
      </c>
    </row>
    <row r="27" spans="1:106" ht="15.75" thickBot="1" x14ac:dyDescent="0.3">
      <c r="A27" s="496"/>
      <c r="B27" s="496"/>
      <c r="C27" s="496"/>
      <c r="D27" s="496"/>
      <c r="E27" s="496"/>
      <c r="F27" s="496" t="s">
        <v>170</v>
      </c>
      <c r="G27" s="496"/>
      <c r="H27" s="321">
        <v>0</v>
      </c>
      <c r="I27" s="319"/>
      <c r="J27" s="499"/>
      <c r="K27" s="319"/>
      <c r="L27" s="321">
        <v>0</v>
      </c>
      <c r="M27" s="319"/>
      <c r="N27" s="320"/>
      <c r="O27" s="319"/>
      <c r="P27" s="321">
        <v>0</v>
      </c>
      <c r="Q27" s="319"/>
      <c r="R27" s="320"/>
      <c r="S27" s="319"/>
      <c r="T27" s="321">
        <v>0</v>
      </c>
      <c r="U27" s="319"/>
      <c r="V27" s="320"/>
      <c r="W27" s="319"/>
      <c r="X27" s="321">
        <v>0</v>
      </c>
      <c r="Y27" s="319"/>
      <c r="Z27" s="499"/>
      <c r="AA27" s="319"/>
      <c r="AB27" s="321">
        <v>0</v>
      </c>
      <c r="AC27" s="319"/>
      <c r="AD27" s="499"/>
      <c r="AE27" s="319"/>
      <c r="AF27" s="321">
        <v>0</v>
      </c>
      <c r="AG27" s="319"/>
      <c r="AH27" s="319"/>
      <c r="AI27" s="319"/>
      <c r="AJ27" s="321">
        <v>0</v>
      </c>
      <c r="AK27" s="319"/>
      <c r="AL27" s="499"/>
      <c r="AM27" s="319"/>
      <c r="AN27" s="321">
        <v>0</v>
      </c>
      <c r="AO27" s="319"/>
      <c r="AP27" s="499"/>
      <c r="AQ27" s="319"/>
      <c r="AR27" s="321">
        <v>0</v>
      </c>
      <c r="AS27" s="319"/>
      <c r="AT27" s="499"/>
      <c r="AU27" s="319"/>
      <c r="AV27" s="321">
        <v>16593.72</v>
      </c>
      <c r="AW27" s="319"/>
      <c r="AX27" s="321">
        <v>25000</v>
      </c>
      <c r="AY27" s="319"/>
      <c r="AZ27" s="321">
        <v>61490</v>
      </c>
      <c r="BA27" s="319"/>
      <c r="BB27" s="321">
        <v>110500</v>
      </c>
      <c r="BC27" s="319"/>
      <c r="BD27" s="321">
        <v>0</v>
      </c>
      <c r="BE27" s="319"/>
      <c r="BF27" s="319"/>
      <c r="BG27" s="319"/>
      <c r="BH27" s="321">
        <v>78083.72</v>
      </c>
      <c r="BI27" s="319"/>
      <c r="BJ27" s="321">
        <v>135500</v>
      </c>
      <c r="BK27" s="319"/>
      <c r="BL27" s="321">
        <v>0</v>
      </c>
      <c r="BM27" s="319"/>
      <c r="BN27" s="499"/>
      <c r="BO27" s="319"/>
      <c r="BP27" s="321">
        <v>0</v>
      </c>
      <c r="BQ27" s="319"/>
      <c r="BR27" s="499"/>
      <c r="BS27" s="319"/>
      <c r="BT27" s="321">
        <v>0</v>
      </c>
      <c r="BU27" s="319"/>
      <c r="BV27" s="499"/>
      <c r="BW27" s="319"/>
      <c r="BX27" s="321">
        <v>0</v>
      </c>
      <c r="BY27" s="319"/>
      <c r="BZ27" s="499"/>
      <c r="CA27" s="319"/>
      <c r="CB27" s="321">
        <v>78083.72</v>
      </c>
      <c r="CC27" s="319"/>
      <c r="CD27" s="321">
        <v>135500</v>
      </c>
      <c r="CE27" s="319"/>
      <c r="CF27" s="321">
        <v>0</v>
      </c>
      <c r="CG27" s="319"/>
      <c r="CH27" s="319"/>
      <c r="CI27" s="319"/>
      <c r="CJ27" s="321">
        <v>0</v>
      </c>
      <c r="CK27" s="319"/>
      <c r="CL27" s="319"/>
      <c r="CM27" s="319"/>
      <c r="CN27" s="321">
        <v>0</v>
      </c>
      <c r="CO27" s="319"/>
      <c r="CP27" s="319"/>
      <c r="CQ27" s="319"/>
      <c r="CR27" s="321">
        <v>0</v>
      </c>
      <c r="CS27" s="319"/>
      <c r="CT27" s="319"/>
      <c r="CU27" s="319"/>
      <c r="CV27" s="321">
        <v>0</v>
      </c>
      <c r="CW27" s="319"/>
      <c r="CX27" s="321">
        <v>0</v>
      </c>
      <c r="CY27" s="319"/>
      <c r="CZ27" s="321">
        <v>78083.72</v>
      </c>
      <c r="DA27" s="319"/>
      <c r="DB27" s="321">
        <v>135900</v>
      </c>
    </row>
    <row r="28" spans="1:106" x14ac:dyDescent="0.25">
      <c r="A28" s="496"/>
      <c r="B28" s="496"/>
      <c r="C28" s="496"/>
      <c r="D28" s="496"/>
      <c r="E28" s="496" t="s">
        <v>171</v>
      </c>
      <c r="F28" s="496"/>
      <c r="G28" s="496"/>
      <c r="H28" s="499">
        <v>0</v>
      </c>
      <c r="I28" s="319"/>
      <c r="J28" s="499"/>
      <c r="K28" s="319"/>
      <c r="L28" s="499">
        <v>0</v>
      </c>
      <c r="M28" s="319"/>
      <c r="N28" s="499">
        <v>6400</v>
      </c>
      <c r="O28" s="319"/>
      <c r="P28" s="499">
        <v>0</v>
      </c>
      <c r="Q28" s="319"/>
      <c r="R28" s="499">
        <v>6400</v>
      </c>
      <c r="S28" s="319"/>
      <c r="T28" s="499">
        <v>872.94</v>
      </c>
      <c r="U28" s="319"/>
      <c r="V28" s="499">
        <v>3000</v>
      </c>
      <c r="W28" s="319"/>
      <c r="X28" s="499">
        <v>0</v>
      </c>
      <c r="Y28" s="319"/>
      <c r="Z28" s="499"/>
      <c r="AA28" s="319"/>
      <c r="AB28" s="499">
        <v>0</v>
      </c>
      <c r="AC28" s="319"/>
      <c r="AD28" s="499"/>
      <c r="AE28" s="319"/>
      <c r="AF28" s="499">
        <v>0</v>
      </c>
      <c r="AG28" s="319"/>
      <c r="AH28" s="319"/>
      <c r="AI28" s="319"/>
      <c r="AJ28" s="499">
        <v>0</v>
      </c>
      <c r="AK28" s="319"/>
      <c r="AL28" s="499"/>
      <c r="AM28" s="319"/>
      <c r="AN28" s="499">
        <v>0</v>
      </c>
      <c r="AO28" s="319"/>
      <c r="AP28" s="499"/>
      <c r="AQ28" s="319"/>
      <c r="AR28" s="499">
        <v>0</v>
      </c>
      <c r="AS28" s="319"/>
      <c r="AT28" s="499"/>
      <c r="AU28" s="319"/>
      <c r="AV28" s="499">
        <v>16593.72</v>
      </c>
      <c r="AW28" s="319"/>
      <c r="AX28" s="499">
        <v>25000</v>
      </c>
      <c r="AY28" s="319"/>
      <c r="AZ28" s="499">
        <v>61490</v>
      </c>
      <c r="BA28" s="319"/>
      <c r="BB28" s="499">
        <v>110500</v>
      </c>
      <c r="BC28" s="319"/>
      <c r="BD28" s="499">
        <v>0</v>
      </c>
      <c r="BE28" s="319"/>
      <c r="BF28" s="319"/>
      <c r="BG28" s="319"/>
      <c r="BH28" s="499">
        <v>78083.72</v>
      </c>
      <c r="BI28" s="319"/>
      <c r="BJ28" s="499">
        <v>135500</v>
      </c>
      <c r="BK28" s="319"/>
      <c r="BL28" s="499">
        <v>0</v>
      </c>
      <c r="BM28" s="319"/>
      <c r="BN28" s="499"/>
      <c r="BO28" s="319"/>
      <c r="BP28" s="499">
        <v>0</v>
      </c>
      <c r="BQ28" s="319"/>
      <c r="BR28" s="499"/>
      <c r="BS28" s="319"/>
      <c r="BT28" s="499">
        <v>0</v>
      </c>
      <c r="BU28" s="319"/>
      <c r="BV28" s="499"/>
      <c r="BW28" s="319"/>
      <c r="BX28" s="499">
        <v>0</v>
      </c>
      <c r="BY28" s="319"/>
      <c r="BZ28" s="499"/>
      <c r="CA28" s="319"/>
      <c r="CB28" s="499">
        <v>78083.72</v>
      </c>
      <c r="CC28" s="319"/>
      <c r="CD28" s="499">
        <v>135500</v>
      </c>
      <c r="CE28" s="319"/>
      <c r="CF28" s="499">
        <v>0</v>
      </c>
      <c r="CG28" s="319"/>
      <c r="CH28" s="319"/>
      <c r="CI28" s="319"/>
      <c r="CJ28" s="499">
        <v>0</v>
      </c>
      <c r="CK28" s="319"/>
      <c r="CL28" s="319"/>
      <c r="CM28" s="319"/>
      <c r="CN28" s="499">
        <v>0</v>
      </c>
      <c r="CO28" s="319"/>
      <c r="CP28" s="319"/>
      <c r="CQ28" s="319"/>
      <c r="CR28" s="499">
        <v>0</v>
      </c>
      <c r="CS28" s="319"/>
      <c r="CT28" s="319"/>
      <c r="CU28" s="319"/>
      <c r="CV28" s="499">
        <v>0</v>
      </c>
      <c r="CW28" s="319"/>
      <c r="CX28" s="499">
        <v>0</v>
      </c>
      <c r="CY28" s="319"/>
      <c r="CZ28" s="499">
        <v>78956.66</v>
      </c>
      <c r="DA28" s="319"/>
      <c r="DB28" s="499">
        <v>145300</v>
      </c>
    </row>
    <row r="29" spans="1:106" x14ac:dyDescent="0.25">
      <c r="A29" s="496"/>
      <c r="B29" s="496"/>
      <c r="C29" s="496"/>
      <c r="D29" s="496"/>
      <c r="E29" s="496" t="s">
        <v>172</v>
      </c>
      <c r="F29" s="496"/>
      <c r="G29" s="496"/>
      <c r="H29" s="499">
        <v>0</v>
      </c>
      <c r="I29" s="319"/>
      <c r="J29" s="499"/>
      <c r="K29" s="319"/>
      <c r="L29" s="499">
        <v>875</v>
      </c>
      <c r="M29" s="319"/>
      <c r="N29" s="499">
        <v>2100</v>
      </c>
      <c r="O29" s="319"/>
      <c r="P29" s="499">
        <v>875</v>
      </c>
      <c r="Q29" s="319"/>
      <c r="R29" s="499">
        <v>2100</v>
      </c>
      <c r="S29" s="319"/>
      <c r="T29" s="499">
        <v>0</v>
      </c>
      <c r="U29" s="319"/>
      <c r="V29" s="499"/>
      <c r="W29" s="319"/>
      <c r="X29" s="499">
        <v>0</v>
      </c>
      <c r="Y29" s="319"/>
      <c r="Z29" s="499"/>
      <c r="AA29" s="319"/>
      <c r="AB29" s="499">
        <v>0</v>
      </c>
      <c r="AC29" s="319"/>
      <c r="AD29" s="499"/>
      <c r="AE29" s="319"/>
      <c r="AF29" s="499">
        <v>0</v>
      </c>
      <c r="AG29" s="319"/>
      <c r="AH29" s="319"/>
      <c r="AI29" s="319"/>
      <c r="AJ29" s="499">
        <v>0</v>
      </c>
      <c r="AK29" s="319"/>
      <c r="AL29" s="499"/>
      <c r="AM29" s="319"/>
      <c r="AN29" s="499">
        <v>0</v>
      </c>
      <c r="AO29" s="319"/>
      <c r="AP29" s="499"/>
      <c r="AQ29" s="319"/>
      <c r="AR29" s="499">
        <v>0</v>
      </c>
      <c r="AS29" s="319"/>
      <c r="AT29" s="499"/>
      <c r="AU29" s="319"/>
      <c r="AV29" s="499">
        <v>0</v>
      </c>
      <c r="AW29" s="319"/>
      <c r="AX29" s="499"/>
      <c r="AY29" s="319"/>
      <c r="AZ29" s="499">
        <v>0</v>
      </c>
      <c r="BA29" s="319"/>
      <c r="BB29" s="499"/>
      <c r="BC29" s="319"/>
      <c r="BD29" s="499">
        <v>0</v>
      </c>
      <c r="BE29" s="319"/>
      <c r="BF29" s="319"/>
      <c r="BG29" s="319"/>
      <c r="BH29" s="499">
        <v>0</v>
      </c>
      <c r="BI29" s="319"/>
      <c r="BJ29" s="499"/>
      <c r="BK29" s="319"/>
      <c r="BL29" s="499">
        <v>0</v>
      </c>
      <c r="BM29" s="319"/>
      <c r="BN29" s="499"/>
      <c r="BO29" s="319"/>
      <c r="BP29" s="499">
        <v>0</v>
      </c>
      <c r="BQ29" s="319"/>
      <c r="BR29" s="499"/>
      <c r="BS29" s="319"/>
      <c r="BT29" s="499">
        <v>0</v>
      </c>
      <c r="BU29" s="319"/>
      <c r="BV29" s="499"/>
      <c r="BW29" s="319"/>
      <c r="BX29" s="499">
        <v>0</v>
      </c>
      <c r="BY29" s="319"/>
      <c r="BZ29" s="499"/>
      <c r="CA29" s="319"/>
      <c r="CB29" s="499">
        <v>0</v>
      </c>
      <c r="CC29" s="319"/>
      <c r="CD29" s="499"/>
      <c r="CE29" s="319"/>
      <c r="CF29" s="499">
        <v>0</v>
      </c>
      <c r="CG29" s="319"/>
      <c r="CH29" s="319"/>
      <c r="CI29" s="319"/>
      <c r="CJ29" s="499">
        <v>0</v>
      </c>
      <c r="CK29" s="319"/>
      <c r="CL29" s="319"/>
      <c r="CM29" s="319"/>
      <c r="CN29" s="499">
        <v>0</v>
      </c>
      <c r="CO29" s="319"/>
      <c r="CP29" s="319"/>
      <c r="CQ29" s="319"/>
      <c r="CR29" s="499">
        <v>0</v>
      </c>
      <c r="CS29" s="319"/>
      <c r="CT29" s="319"/>
      <c r="CU29" s="319"/>
      <c r="CV29" s="499">
        <v>0</v>
      </c>
      <c r="CW29" s="319"/>
      <c r="CX29" s="499">
        <v>0</v>
      </c>
      <c r="CY29" s="319"/>
      <c r="CZ29" s="499">
        <v>875</v>
      </c>
      <c r="DA29" s="319"/>
      <c r="DB29" s="499">
        <v>2100</v>
      </c>
    </row>
    <row r="30" spans="1:106" ht="15.75" thickBot="1" x14ac:dyDescent="0.3">
      <c r="A30" s="496"/>
      <c r="B30" s="496"/>
      <c r="C30" s="496"/>
      <c r="D30" s="496"/>
      <c r="E30" s="496" t="s">
        <v>173</v>
      </c>
      <c r="F30" s="496"/>
      <c r="G30" s="496"/>
      <c r="H30" s="320">
        <v>0</v>
      </c>
      <c r="I30" s="319"/>
      <c r="J30" s="499"/>
      <c r="K30" s="319"/>
      <c r="L30" s="320">
        <v>456.82</v>
      </c>
      <c r="M30" s="319"/>
      <c r="N30" s="320">
        <v>460</v>
      </c>
      <c r="O30" s="319"/>
      <c r="P30" s="320">
        <v>456.82</v>
      </c>
      <c r="Q30" s="319"/>
      <c r="R30" s="320">
        <v>460</v>
      </c>
      <c r="S30" s="319"/>
      <c r="T30" s="320">
        <v>0</v>
      </c>
      <c r="U30" s="319"/>
      <c r="V30" s="320"/>
      <c r="W30" s="319"/>
      <c r="X30" s="320">
        <v>0</v>
      </c>
      <c r="Y30" s="319"/>
      <c r="Z30" s="499"/>
      <c r="AA30" s="319"/>
      <c r="AB30" s="320">
        <v>0</v>
      </c>
      <c r="AC30" s="319"/>
      <c r="AD30" s="499"/>
      <c r="AE30" s="319"/>
      <c r="AF30" s="320">
        <v>0</v>
      </c>
      <c r="AG30" s="319"/>
      <c r="AH30" s="319"/>
      <c r="AI30" s="319"/>
      <c r="AJ30" s="320">
        <v>0</v>
      </c>
      <c r="AK30" s="319"/>
      <c r="AL30" s="499"/>
      <c r="AM30" s="319"/>
      <c r="AN30" s="320">
        <v>0</v>
      </c>
      <c r="AO30" s="319"/>
      <c r="AP30" s="499"/>
      <c r="AQ30" s="319"/>
      <c r="AR30" s="320">
        <v>0</v>
      </c>
      <c r="AS30" s="319"/>
      <c r="AT30" s="499"/>
      <c r="AU30" s="319"/>
      <c r="AV30" s="320">
        <v>0</v>
      </c>
      <c r="AW30" s="319"/>
      <c r="AX30" s="320"/>
      <c r="AY30" s="319"/>
      <c r="AZ30" s="320">
        <v>0</v>
      </c>
      <c r="BA30" s="319"/>
      <c r="BB30" s="320"/>
      <c r="BC30" s="319"/>
      <c r="BD30" s="320">
        <v>0</v>
      </c>
      <c r="BE30" s="319"/>
      <c r="BF30" s="319"/>
      <c r="BG30" s="319"/>
      <c r="BH30" s="320">
        <v>0</v>
      </c>
      <c r="BI30" s="319"/>
      <c r="BJ30" s="320"/>
      <c r="BK30" s="319"/>
      <c r="BL30" s="320">
        <v>0</v>
      </c>
      <c r="BM30" s="319"/>
      <c r="BN30" s="499"/>
      <c r="BO30" s="319"/>
      <c r="BP30" s="320">
        <v>0</v>
      </c>
      <c r="BQ30" s="319"/>
      <c r="BR30" s="320"/>
      <c r="BS30" s="319"/>
      <c r="BT30" s="320">
        <v>0</v>
      </c>
      <c r="BU30" s="319"/>
      <c r="BV30" s="320"/>
      <c r="BW30" s="319"/>
      <c r="BX30" s="320">
        <v>0</v>
      </c>
      <c r="BY30" s="319"/>
      <c r="BZ30" s="320"/>
      <c r="CA30" s="319"/>
      <c r="CB30" s="320">
        <v>0</v>
      </c>
      <c r="CC30" s="319"/>
      <c r="CD30" s="320"/>
      <c r="CE30" s="319"/>
      <c r="CF30" s="320">
        <v>0</v>
      </c>
      <c r="CG30" s="319"/>
      <c r="CH30" s="319"/>
      <c r="CI30" s="319"/>
      <c r="CJ30" s="320">
        <v>0</v>
      </c>
      <c r="CK30" s="319"/>
      <c r="CL30" s="319"/>
      <c r="CM30" s="319"/>
      <c r="CN30" s="320">
        <v>0</v>
      </c>
      <c r="CO30" s="319"/>
      <c r="CP30" s="319"/>
      <c r="CQ30" s="319"/>
      <c r="CR30" s="320">
        <v>0</v>
      </c>
      <c r="CS30" s="319"/>
      <c r="CT30" s="319"/>
      <c r="CU30" s="319"/>
      <c r="CV30" s="320">
        <v>0</v>
      </c>
      <c r="CW30" s="319"/>
      <c r="CX30" s="320">
        <v>0</v>
      </c>
      <c r="CY30" s="319"/>
      <c r="CZ30" s="320">
        <v>456.82</v>
      </c>
      <c r="DA30" s="319"/>
      <c r="DB30" s="320">
        <v>460</v>
      </c>
    </row>
    <row r="31" spans="1:106" x14ac:dyDescent="0.25">
      <c r="A31" s="496"/>
      <c r="B31" s="496"/>
      <c r="C31" s="496"/>
      <c r="D31" s="496" t="s">
        <v>32</v>
      </c>
      <c r="E31" s="496"/>
      <c r="F31" s="496"/>
      <c r="G31" s="496"/>
      <c r="H31" s="499">
        <v>146.9</v>
      </c>
      <c r="I31" s="319"/>
      <c r="J31" s="499"/>
      <c r="K31" s="319"/>
      <c r="L31" s="499">
        <v>117274.69</v>
      </c>
      <c r="M31" s="319"/>
      <c r="N31" s="499">
        <v>197854</v>
      </c>
      <c r="O31" s="319"/>
      <c r="P31" s="499">
        <v>117421.59</v>
      </c>
      <c r="Q31" s="319"/>
      <c r="R31" s="499">
        <v>197854</v>
      </c>
      <c r="S31" s="319"/>
      <c r="T31" s="499">
        <v>37416.300000000003</v>
      </c>
      <c r="U31" s="319"/>
      <c r="V31" s="499">
        <v>93000</v>
      </c>
      <c r="W31" s="319"/>
      <c r="X31" s="499">
        <v>0</v>
      </c>
      <c r="Y31" s="319"/>
      <c r="Z31" s="499"/>
      <c r="AA31" s="319"/>
      <c r="AB31" s="499">
        <v>0</v>
      </c>
      <c r="AC31" s="319"/>
      <c r="AD31" s="499"/>
      <c r="AE31" s="319"/>
      <c r="AF31" s="499">
        <v>0</v>
      </c>
      <c r="AG31" s="319"/>
      <c r="AH31" s="319"/>
      <c r="AI31" s="319"/>
      <c r="AJ31" s="499">
        <v>0</v>
      </c>
      <c r="AK31" s="319"/>
      <c r="AL31" s="499"/>
      <c r="AM31" s="319"/>
      <c r="AN31" s="499">
        <v>0</v>
      </c>
      <c r="AO31" s="319"/>
      <c r="AP31" s="499"/>
      <c r="AQ31" s="319"/>
      <c r="AR31" s="499">
        <v>161.1</v>
      </c>
      <c r="AS31" s="319"/>
      <c r="AT31" s="499"/>
      <c r="AU31" s="319"/>
      <c r="AV31" s="499">
        <v>16593.72</v>
      </c>
      <c r="AW31" s="319"/>
      <c r="AX31" s="499">
        <v>25000</v>
      </c>
      <c r="AY31" s="319"/>
      <c r="AZ31" s="499">
        <v>79040</v>
      </c>
      <c r="BA31" s="319"/>
      <c r="BB31" s="499">
        <v>116250</v>
      </c>
      <c r="BC31" s="319"/>
      <c r="BD31" s="499">
        <v>0</v>
      </c>
      <c r="BE31" s="319"/>
      <c r="BF31" s="319"/>
      <c r="BG31" s="319"/>
      <c r="BH31" s="499">
        <v>95633.72</v>
      </c>
      <c r="BI31" s="319"/>
      <c r="BJ31" s="499">
        <v>141250</v>
      </c>
      <c r="BK31" s="319"/>
      <c r="BL31" s="499">
        <v>6705</v>
      </c>
      <c r="BM31" s="319"/>
      <c r="BN31" s="499"/>
      <c r="BO31" s="319"/>
      <c r="BP31" s="499">
        <v>190</v>
      </c>
      <c r="BQ31" s="319"/>
      <c r="BR31" s="499">
        <v>25000</v>
      </c>
      <c r="BS31" s="319"/>
      <c r="BT31" s="499">
        <v>865</v>
      </c>
      <c r="BU31" s="319"/>
      <c r="BV31" s="499">
        <v>7500</v>
      </c>
      <c r="BW31" s="319"/>
      <c r="BX31" s="499">
        <v>7760</v>
      </c>
      <c r="BY31" s="319"/>
      <c r="BZ31" s="499">
        <v>32500</v>
      </c>
      <c r="CA31" s="319"/>
      <c r="CB31" s="499">
        <v>103554.82</v>
      </c>
      <c r="CC31" s="319"/>
      <c r="CD31" s="499">
        <v>173750</v>
      </c>
      <c r="CE31" s="319"/>
      <c r="CF31" s="499">
        <v>0</v>
      </c>
      <c r="CG31" s="319"/>
      <c r="CH31" s="319"/>
      <c r="CI31" s="319"/>
      <c r="CJ31" s="499">
        <v>0</v>
      </c>
      <c r="CK31" s="319"/>
      <c r="CL31" s="319"/>
      <c r="CM31" s="319"/>
      <c r="CN31" s="499">
        <v>0</v>
      </c>
      <c r="CO31" s="319"/>
      <c r="CP31" s="319"/>
      <c r="CQ31" s="319"/>
      <c r="CR31" s="499">
        <v>0</v>
      </c>
      <c r="CS31" s="319"/>
      <c r="CT31" s="319"/>
      <c r="CU31" s="319"/>
      <c r="CV31" s="499">
        <v>0</v>
      </c>
      <c r="CW31" s="319"/>
      <c r="CX31" s="499">
        <v>0</v>
      </c>
      <c r="CY31" s="319"/>
      <c r="CZ31" s="499">
        <v>258392.71</v>
      </c>
      <c r="DA31" s="319"/>
      <c r="DB31" s="499">
        <v>465004</v>
      </c>
    </row>
    <row r="32" spans="1:106" ht="15.75" thickBot="1" x14ac:dyDescent="0.3">
      <c r="A32" s="496"/>
      <c r="B32" s="496"/>
      <c r="C32" s="496"/>
      <c r="D32" s="496" t="s">
        <v>175</v>
      </c>
      <c r="E32" s="496"/>
      <c r="F32" s="496"/>
      <c r="G32" s="496"/>
      <c r="H32" s="320">
        <v>0</v>
      </c>
      <c r="I32" s="319"/>
      <c r="J32" s="499"/>
      <c r="K32" s="319"/>
      <c r="L32" s="320">
        <v>0</v>
      </c>
      <c r="M32" s="319"/>
      <c r="N32" s="320"/>
      <c r="O32" s="319"/>
      <c r="P32" s="320">
        <v>0</v>
      </c>
      <c r="Q32" s="319"/>
      <c r="R32" s="320"/>
      <c r="S32" s="319"/>
      <c r="T32" s="320">
        <v>245.72</v>
      </c>
      <c r="U32" s="319"/>
      <c r="V32" s="320"/>
      <c r="W32" s="319"/>
      <c r="X32" s="320">
        <v>0</v>
      </c>
      <c r="Y32" s="319"/>
      <c r="Z32" s="499"/>
      <c r="AA32" s="319"/>
      <c r="AB32" s="320">
        <v>0</v>
      </c>
      <c r="AC32" s="319"/>
      <c r="AD32" s="499"/>
      <c r="AE32" s="319"/>
      <c r="AF32" s="320">
        <v>0</v>
      </c>
      <c r="AG32" s="319"/>
      <c r="AH32" s="319"/>
      <c r="AI32" s="319"/>
      <c r="AJ32" s="320">
        <v>0</v>
      </c>
      <c r="AK32" s="319"/>
      <c r="AL32" s="499"/>
      <c r="AM32" s="319"/>
      <c r="AN32" s="320">
        <v>0</v>
      </c>
      <c r="AO32" s="319"/>
      <c r="AP32" s="499"/>
      <c r="AQ32" s="319"/>
      <c r="AR32" s="320">
        <v>0</v>
      </c>
      <c r="AS32" s="319"/>
      <c r="AT32" s="499"/>
      <c r="AU32" s="319"/>
      <c r="AV32" s="320">
        <v>0</v>
      </c>
      <c r="AW32" s="319"/>
      <c r="AX32" s="320"/>
      <c r="AY32" s="319"/>
      <c r="AZ32" s="320">
        <v>0</v>
      </c>
      <c r="BA32" s="319"/>
      <c r="BB32" s="320"/>
      <c r="BC32" s="319"/>
      <c r="BD32" s="320">
        <v>0</v>
      </c>
      <c r="BE32" s="319"/>
      <c r="BF32" s="319"/>
      <c r="BG32" s="319"/>
      <c r="BH32" s="320">
        <v>0</v>
      </c>
      <c r="BI32" s="319"/>
      <c r="BJ32" s="320"/>
      <c r="BK32" s="319"/>
      <c r="BL32" s="320">
        <v>0</v>
      </c>
      <c r="BM32" s="319"/>
      <c r="BN32" s="499"/>
      <c r="BO32" s="319"/>
      <c r="BP32" s="320">
        <v>0</v>
      </c>
      <c r="BQ32" s="319"/>
      <c r="BR32" s="320"/>
      <c r="BS32" s="319"/>
      <c r="BT32" s="320">
        <v>0</v>
      </c>
      <c r="BU32" s="319"/>
      <c r="BV32" s="320"/>
      <c r="BW32" s="319"/>
      <c r="BX32" s="320">
        <v>0</v>
      </c>
      <c r="BY32" s="319"/>
      <c r="BZ32" s="320"/>
      <c r="CA32" s="319"/>
      <c r="CB32" s="320">
        <v>0</v>
      </c>
      <c r="CC32" s="319"/>
      <c r="CD32" s="320"/>
      <c r="CE32" s="319"/>
      <c r="CF32" s="320">
        <v>0</v>
      </c>
      <c r="CG32" s="319"/>
      <c r="CH32" s="319"/>
      <c r="CI32" s="319"/>
      <c r="CJ32" s="320">
        <v>0</v>
      </c>
      <c r="CK32" s="319"/>
      <c r="CL32" s="319"/>
      <c r="CM32" s="319"/>
      <c r="CN32" s="320">
        <v>0</v>
      </c>
      <c r="CO32" s="319"/>
      <c r="CP32" s="319"/>
      <c r="CQ32" s="319"/>
      <c r="CR32" s="320">
        <v>0</v>
      </c>
      <c r="CS32" s="319"/>
      <c r="CT32" s="319"/>
      <c r="CU32" s="319"/>
      <c r="CV32" s="320">
        <v>0</v>
      </c>
      <c r="CW32" s="319"/>
      <c r="CX32" s="320">
        <v>0</v>
      </c>
      <c r="CY32" s="319"/>
      <c r="CZ32" s="320">
        <v>245.72</v>
      </c>
      <c r="DA32" s="319"/>
      <c r="DB32" s="499"/>
    </row>
    <row r="33" spans="1:108" x14ac:dyDescent="0.25">
      <c r="A33" s="496"/>
      <c r="B33" s="496"/>
      <c r="C33" s="496" t="s">
        <v>178</v>
      </c>
      <c r="D33" s="496"/>
      <c r="E33" s="496"/>
      <c r="F33" s="496"/>
      <c r="G33" s="496"/>
      <c r="H33" s="499">
        <v>146.9</v>
      </c>
      <c r="I33" s="319"/>
      <c r="J33" s="499"/>
      <c r="K33" s="319"/>
      <c r="L33" s="499">
        <v>117274.69</v>
      </c>
      <c r="M33" s="319"/>
      <c r="N33" s="499">
        <v>197854</v>
      </c>
      <c r="O33" s="319"/>
      <c r="P33" s="499">
        <v>117421.59</v>
      </c>
      <c r="Q33" s="319"/>
      <c r="R33" s="499">
        <v>197854</v>
      </c>
      <c r="S33" s="319"/>
      <c r="T33" s="499">
        <v>37170.58</v>
      </c>
      <c r="U33" s="319"/>
      <c r="V33" s="499">
        <v>93000</v>
      </c>
      <c r="W33" s="319"/>
      <c r="X33" s="499">
        <v>0</v>
      </c>
      <c r="Y33" s="319"/>
      <c r="Z33" s="499"/>
      <c r="AA33" s="319"/>
      <c r="AB33" s="499">
        <v>0</v>
      </c>
      <c r="AC33" s="319"/>
      <c r="AD33" s="499"/>
      <c r="AE33" s="319"/>
      <c r="AF33" s="499">
        <v>0</v>
      </c>
      <c r="AG33" s="319"/>
      <c r="AH33" s="319"/>
      <c r="AI33" s="319"/>
      <c r="AJ33" s="499">
        <v>0</v>
      </c>
      <c r="AK33" s="319"/>
      <c r="AL33" s="499"/>
      <c r="AM33" s="319"/>
      <c r="AN33" s="499">
        <v>0</v>
      </c>
      <c r="AO33" s="319"/>
      <c r="AP33" s="499"/>
      <c r="AQ33" s="319"/>
      <c r="AR33" s="499">
        <v>161.1</v>
      </c>
      <c r="AS33" s="319"/>
      <c r="AT33" s="499"/>
      <c r="AU33" s="319"/>
      <c r="AV33" s="499">
        <v>16593.72</v>
      </c>
      <c r="AW33" s="319"/>
      <c r="AX33" s="499">
        <v>25000</v>
      </c>
      <c r="AY33" s="319"/>
      <c r="AZ33" s="499">
        <v>79040</v>
      </c>
      <c r="BA33" s="319"/>
      <c r="BB33" s="499">
        <v>116250</v>
      </c>
      <c r="BC33" s="319"/>
      <c r="BD33" s="499">
        <v>0</v>
      </c>
      <c r="BE33" s="319"/>
      <c r="BF33" s="319"/>
      <c r="BG33" s="319"/>
      <c r="BH33" s="499">
        <v>95633.72</v>
      </c>
      <c r="BI33" s="319"/>
      <c r="BJ33" s="499">
        <v>141250</v>
      </c>
      <c r="BK33" s="319"/>
      <c r="BL33" s="499">
        <v>6705</v>
      </c>
      <c r="BM33" s="319"/>
      <c r="BN33" s="499"/>
      <c r="BO33" s="319"/>
      <c r="BP33" s="499">
        <v>190</v>
      </c>
      <c r="BQ33" s="319"/>
      <c r="BR33" s="499">
        <v>25000</v>
      </c>
      <c r="BS33" s="319"/>
      <c r="BT33" s="499">
        <v>865</v>
      </c>
      <c r="BU33" s="319"/>
      <c r="BV33" s="499">
        <v>7500</v>
      </c>
      <c r="BW33" s="319"/>
      <c r="BX33" s="499">
        <v>7760</v>
      </c>
      <c r="BY33" s="319"/>
      <c r="BZ33" s="499">
        <v>32500</v>
      </c>
      <c r="CA33" s="319"/>
      <c r="CB33" s="499">
        <v>103554.82</v>
      </c>
      <c r="CC33" s="319"/>
      <c r="CD33" s="499">
        <v>173750</v>
      </c>
      <c r="CE33" s="319"/>
      <c r="CF33" s="499">
        <v>0</v>
      </c>
      <c r="CG33" s="319"/>
      <c r="CH33" s="319"/>
      <c r="CI33" s="319"/>
      <c r="CJ33" s="499">
        <v>0</v>
      </c>
      <c r="CK33" s="319"/>
      <c r="CL33" s="319"/>
      <c r="CM33" s="319"/>
      <c r="CN33" s="499">
        <v>0</v>
      </c>
      <c r="CO33" s="319"/>
      <c r="CP33" s="319"/>
      <c r="CQ33" s="319"/>
      <c r="CR33" s="499">
        <v>0</v>
      </c>
      <c r="CS33" s="319"/>
      <c r="CT33" s="319"/>
      <c r="CU33" s="319"/>
      <c r="CV33" s="499">
        <v>0</v>
      </c>
      <c r="CW33" s="319"/>
      <c r="CX33" s="499">
        <v>0</v>
      </c>
      <c r="CY33" s="319"/>
      <c r="CZ33" s="499">
        <v>258146.99</v>
      </c>
      <c r="DA33" s="319"/>
      <c r="DB33" s="499">
        <v>465004</v>
      </c>
    </row>
    <row r="34" spans="1:108" x14ac:dyDescent="0.25">
      <c r="A34" s="496"/>
      <c r="B34" s="496"/>
      <c r="C34" s="496"/>
      <c r="D34" s="496" t="s">
        <v>68</v>
      </c>
      <c r="E34" s="496"/>
      <c r="F34" s="496"/>
      <c r="G34" s="496"/>
      <c r="H34" s="499"/>
      <c r="I34" s="319"/>
      <c r="J34" s="499"/>
      <c r="K34" s="319"/>
      <c r="L34" s="499"/>
      <c r="M34" s="319"/>
      <c r="N34" s="499"/>
      <c r="O34" s="319"/>
      <c r="P34" s="499"/>
      <c r="Q34" s="319"/>
      <c r="R34" s="499"/>
      <c r="S34" s="319"/>
      <c r="T34" s="499"/>
      <c r="U34" s="319"/>
      <c r="V34" s="499"/>
      <c r="W34" s="319"/>
      <c r="X34" s="499"/>
      <c r="Y34" s="319"/>
      <c r="Z34" s="499"/>
      <c r="AA34" s="319"/>
      <c r="AB34" s="499"/>
      <c r="AC34" s="319"/>
      <c r="AD34" s="499"/>
      <c r="AE34" s="319"/>
      <c r="AF34" s="499"/>
      <c r="AG34" s="319"/>
      <c r="AH34" s="319"/>
      <c r="AI34" s="319"/>
      <c r="AJ34" s="499"/>
      <c r="AK34" s="319"/>
      <c r="AL34" s="499"/>
      <c r="AM34" s="319"/>
      <c r="AN34" s="499"/>
      <c r="AO34" s="319"/>
      <c r="AP34" s="499"/>
      <c r="AQ34" s="319"/>
      <c r="AR34" s="499"/>
      <c r="AS34" s="319"/>
      <c r="AT34" s="499"/>
      <c r="AU34" s="319"/>
      <c r="AV34" s="499"/>
      <c r="AW34" s="319"/>
      <c r="AX34" s="499"/>
      <c r="AY34" s="319"/>
      <c r="AZ34" s="499"/>
      <c r="BA34" s="319"/>
      <c r="BB34" s="499"/>
      <c r="BC34" s="319"/>
      <c r="BD34" s="499"/>
      <c r="BE34" s="319"/>
      <c r="BF34" s="319"/>
      <c r="BG34" s="319"/>
      <c r="BH34" s="499"/>
      <c r="BI34" s="319"/>
      <c r="BJ34" s="499"/>
      <c r="BK34" s="319"/>
      <c r="BL34" s="499"/>
      <c r="BM34" s="319"/>
      <c r="BN34" s="499"/>
      <c r="BO34" s="319"/>
      <c r="BP34" s="499"/>
      <c r="BQ34" s="319"/>
      <c r="BR34" s="499"/>
      <c r="BS34" s="319"/>
      <c r="BT34" s="499"/>
      <c r="BU34" s="319"/>
      <c r="BV34" s="499"/>
      <c r="BW34" s="319"/>
      <c r="BX34" s="499"/>
      <c r="BY34" s="319"/>
      <c r="BZ34" s="499"/>
      <c r="CA34" s="319"/>
      <c r="CB34" s="499"/>
      <c r="CC34" s="319"/>
      <c r="CD34" s="499"/>
      <c r="CE34" s="319"/>
      <c r="CF34" s="499"/>
      <c r="CG34" s="319"/>
      <c r="CH34" s="319"/>
      <c r="CI34" s="319"/>
      <c r="CJ34" s="499"/>
      <c r="CK34" s="319"/>
      <c r="CL34" s="319"/>
      <c r="CM34" s="319"/>
      <c r="CN34" s="499"/>
      <c r="CO34" s="319"/>
      <c r="CP34" s="319"/>
      <c r="CQ34" s="319"/>
      <c r="CR34" s="499"/>
      <c r="CS34" s="319"/>
      <c r="CT34" s="319"/>
      <c r="CU34" s="319"/>
      <c r="CV34" s="499"/>
      <c r="CW34" s="319"/>
      <c r="CX34" s="499"/>
      <c r="CY34" s="319"/>
      <c r="CZ34" s="499"/>
      <c r="DA34" s="319"/>
      <c r="DB34" s="499"/>
    </row>
    <row r="35" spans="1:108" x14ac:dyDescent="0.25">
      <c r="A35" s="496"/>
      <c r="B35" s="496"/>
      <c r="C35" s="496"/>
      <c r="D35" s="496"/>
      <c r="E35" s="496" t="s">
        <v>179</v>
      </c>
      <c r="F35" s="496"/>
      <c r="G35" s="496"/>
      <c r="H35" s="499">
        <v>2086.34</v>
      </c>
      <c r="I35" s="319"/>
      <c r="J35" s="499">
        <v>11222</v>
      </c>
      <c r="K35" s="319"/>
      <c r="L35" s="499">
        <v>6804.35</v>
      </c>
      <c r="M35" s="319"/>
      <c r="N35" s="499">
        <v>21729</v>
      </c>
      <c r="O35" s="319"/>
      <c r="P35" s="499">
        <v>8890.69</v>
      </c>
      <c r="Q35" s="319"/>
      <c r="R35" s="499">
        <v>32951</v>
      </c>
      <c r="S35" s="319"/>
      <c r="T35" s="499">
        <v>11923.1</v>
      </c>
      <c r="U35" s="319"/>
      <c r="V35" s="499">
        <v>47943</v>
      </c>
      <c r="W35" s="319"/>
      <c r="X35" s="499">
        <v>658.59</v>
      </c>
      <c r="Y35" s="319"/>
      <c r="Z35" s="499">
        <v>1601</v>
      </c>
      <c r="AA35" s="319"/>
      <c r="AB35" s="499">
        <v>317.85000000000002</v>
      </c>
      <c r="AC35" s="319"/>
      <c r="AD35" s="499">
        <v>6974</v>
      </c>
      <c r="AE35" s="319"/>
      <c r="AF35" s="499">
        <v>0</v>
      </c>
      <c r="AG35" s="319"/>
      <c r="AH35" s="319"/>
      <c r="AI35" s="319"/>
      <c r="AJ35" s="499">
        <v>976.44</v>
      </c>
      <c r="AK35" s="319"/>
      <c r="AL35" s="499">
        <v>8575</v>
      </c>
      <c r="AM35" s="319"/>
      <c r="AN35" s="499">
        <v>1317.12</v>
      </c>
      <c r="AO35" s="319"/>
      <c r="AP35" s="499">
        <v>3199</v>
      </c>
      <c r="AQ35" s="319"/>
      <c r="AR35" s="499">
        <v>4582.76</v>
      </c>
      <c r="AS35" s="319"/>
      <c r="AT35" s="499">
        <v>10944</v>
      </c>
      <c r="AU35" s="319"/>
      <c r="AV35" s="499">
        <v>1094.75</v>
      </c>
      <c r="AW35" s="319"/>
      <c r="AX35" s="499">
        <v>3742</v>
      </c>
      <c r="AY35" s="319"/>
      <c r="AZ35" s="499">
        <v>18969.2</v>
      </c>
      <c r="BA35" s="319"/>
      <c r="BB35" s="499">
        <v>41305</v>
      </c>
      <c r="BC35" s="319"/>
      <c r="BD35" s="499">
        <v>0</v>
      </c>
      <c r="BE35" s="319"/>
      <c r="BF35" s="319"/>
      <c r="BG35" s="319"/>
      <c r="BH35" s="499">
        <v>20063.95</v>
      </c>
      <c r="BI35" s="319"/>
      <c r="BJ35" s="499">
        <v>45047</v>
      </c>
      <c r="BK35" s="319"/>
      <c r="BL35" s="499">
        <v>2441.29</v>
      </c>
      <c r="BM35" s="319"/>
      <c r="BN35" s="499">
        <v>18139</v>
      </c>
      <c r="BO35" s="319"/>
      <c r="BP35" s="499">
        <v>10160.74</v>
      </c>
      <c r="BQ35" s="319"/>
      <c r="BR35" s="499">
        <v>47366</v>
      </c>
      <c r="BS35" s="319"/>
      <c r="BT35" s="499">
        <v>32310.86</v>
      </c>
      <c r="BU35" s="319"/>
      <c r="BV35" s="499">
        <v>78826</v>
      </c>
      <c r="BW35" s="319"/>
      <c r="BX35" s="499">
        <v>44912.89</v>
      </c>
      <c r="BY35" s="319"/>
      <c r="BZ35" s="499">
        <v>144331</v>
      </c>
      <c r="CA35" s="319"/>
      <c r="CB35" s="499">
        <v>71853.16</v>
      </c>
      <c r="CC35" s="319"/>
      <c r="CD35" s="499">
        <v>212096</v>
      </c>
      <c r="CE35" s="319"/>
      <c r="CF35" s="499">
        <v>0</v>
      </c>
      <c r="CG35" s="319"/>
      <c r="CH35" s="319"/>
      <c r="CI35" s="319"/>
      <c r="CJ35" s="499">
        <v>0</v>
      </c>
      <c r="CK35" s="319"/>
      <c r="CL35" s="319"/>
      <c r="CM35" s="319"/>
      <c r="CN35" s="499">
        <v>0</v>
      </c>
      <c r="CO35" s="319"/>
      <c r="CP35" s="319"/>
      <c r="CQ35" s="319"/>
      <c r="CR35" s="499">
        <v>0</v>
      </c>
      <c r="CS35" s="319"/>
      <c r="CT35" s="319"/>
      <c r="CU35" s="319"/>
      <c r="CV35" s="499">
        <v>-0.08</v>
      </c>
      <c r="CW35" s="319"/>
      <c r="CX35" s="499">
        <v>0</v>
      </c>
      <c r="CY35" s="319"/>
      <c r="CZ35" s="499">
        <v>92666.87</v>
      </c>
      <c r="DA35" s="319"/>
      <c r="DB35" s="499">
        <v>292990</v>
      </c>
      <c r="DC35" s="533"/>
    </row>
    <row r="36" spans="1:108" x14ac:dyDescent="0.25">
      <c r="A36" s="496"/>
      <c r="B36" s="496"/>
      <c r="C36" s="496"/>
      <c r="D36" s="496"/>
      <c r="E36" s="496" t="s">
        <v>180</v>
      </c>
      <c r="F36" s="496"/>
      <c r="G36" s="496"/>
      <c r="H36" s="499">
        <v>0</v>
      </c>
      <c r="I36" s="319"/>
      <c r="J36" s="499"/>
      <c r="K36" s="319"/>
      <c r="L36" s="499">
        <v>7845.75</v>
      </c>
      <c r="M36" s="319"/>
      <c r="N36" s="499">
        <v>22467</v>
      </c>
      <c r="O36" s="319"/>
      <c r="P36" s="499">
        <v>7845.75</v>
      </c>
      <c r="Q36" s="319"/>
      <c r="R36" s="499">
        <v>22467</v>
      </c>
      <c r="S36" s="319"/>
      <c r="T36" s="499">
        <v>0</v>
      </c>
      <c r="U36" s="319"/>
      <c r="V36" s="499"/>
      <c r="W36" s="319"/>
      <c r="X36" s="499">
        <v>0</v>
      </c>
      <c r="Y36" s="319"/>
      <c r="Z36" s="499"/>
      <c r="AA36" s="319"/>
      <c r="AB36" s="499">
        <v>0</v>
      </c>
      <c r="AC36" s="319"/>
      <c r="AD36" s="499"/>
      <c r="AE36" s="319"/>
      <c r="AF36" s="499">
        <v>0</v>
      </c>
      <c r="AG36" s="319"/>
      <c r="AH36" s="319"/>
      <c r="AI36" s="319"/>
      <c r="AJ36" s="499">
        <v>0</v>
      </c>
      <c r="AK36" s="319"/>
      <c r="AL36" s="499"/>
      <c r="AM36" s="319"/>
      <c r="AN36" s="499">
        <v>0</v>
      </c>
      <c r="AO36" s="319"/>
      <c r="AP36" s="499"/>
      <c r="AQ36" s="319"/>
      <c r="AR36" s="499">
        <v>0</v>
      </c>
      <c r="AS36" s="319"/>
      <c r="AT36" s="499"/>
      <c r="AU36" s="319"/>
      <c r="AV36" s="499">
        <v>0</v>
      </c>
      <c r="AW36" s="319"/>
      <c r="AX36" s="499"/>
      <c r="AY36" s="319"/>
      <c r="AZ36" s="499">
        <v>0</v>
      </c>
      <c r="BA36" s="319"/>
      <c r="BB36" s="499"/>
      <c r="BC36" s="319"/>
      <c r="BD36" s="499">
        <v>0</v>
      </c>
      <c r="BE36" s="319"/>
      <c r="BF36" s="319"/>
      <c r="BG36" s="319"/>
      <c r="BH36" s="499">
        <v>0</v>
      </c>
      <c r="BI36" s="319"/>
      <c r="BJ36" s="499"/>
      <c r="BK36" s="319"/>
      <c r="BL36" s="499">
        <v>0</v>
      </c>
      <c r="BM36" s="319"/>
      <c r="BN36" s="499"/>
      <c r="BO36" s="319"/>
      <c r="BP36" s="499">
        <v>0</v>
      </c>
      <c r="BQ36" s="319"/>
      <c r="BR36" s="499"/>
      <c r="BS36" s="319"/>
      <c r="BT36" s="499">
        <v>0</v>
      </c>
      <c r="BU36" s="319"/>
      <c r="BV36" s="499"/>
      <c r="BW36" s="319"/>
      <c r="BX36" s="499">
        <v>0</v>
      </c>
      <c r="BY36" s="319"/>
      <c r="BZ36" s="499"/>
      <c r="CA36" s="319"/>
      <c r="CB36" s="499">
        <v>0</v>
      </c>
      <c r="CC36" s="319"/>
      <c r="CD36" s="499"/>
      <c r="CE36" s="319"/>
      <c r="CF36" s="499">
        <v>0</v>
      </c>
      <c r="CG36" s="319"/>
      <c r="CH36" s="319"/>
      <c r="CI36" s="319"/>
      <c r="CJ36" s="499">
        <v>0</v>
      </c>
      <c r="CK36" s="319"/>
      <c r="CL36" s="319"/>
      <c r="CM36" s="319"/>
      <c r="CN36" s="499">
        <v>0</v>
      </c>
      <c r="CO36" s="319"/>
      <c r="CP36" s="319"/>
      <c r="CQ36" s="319"/>
      <c r="CR36" s="499">
        <v>0</v>
      </c>
      <c r="CS36" s="319"/>
      <c r="CT36" s="319"/>
      <c r="CU36" s="319"/>
      <c r="CV36" s="499">
        <v>0</v>
      </c>
      <c r="CW36" s="319"/>
      <c r="CX36" s="499">
        <v>0</v>
      </c>
      <c r="CY36" s="319"/>
      <c r="CZ36" s="499">
        <v>7845.75</v>
      </c>
      <c r="DA36" s="319"/>
      <c r="DB36" s="499">
        <v>22467</v>
      </c>
      <c r="DC36" s="533"/>
    </row>
    <row r="37" spans="1:108" x14ac:dyDescent="0.25">
      <c r="A37" s="496"/>
      <c r="B37" s="496"/>
      <c r="C37" s="496"/>
      <c r="D37" s="496"/>
      <c r="E37" s="496" t="s">
        <v>181</v>
      </c>
      <c r="F37" s="496"/>
      <c r="G37" s="496"/>
      <c r="H37" s="499">
        <v>0</v>
      </c>
      <c r="I37" s="319"/>
      <c r="J37" s="499"/>
      <c r="K37" s="319"/>
      <c r="L37" s="499">
        <v>699.77</v>
      </c>
      <c r="M37" s="319"/>
      <c r="N37" s="499">
        <v>4800</v>
      </c>
      <c r="O37" s="319"/>
      <c r="P37" s="499">
        <v>699.77</v>
      </c>
      <c r="Q37" s="319"/>
      <c r="R37" s="499">
        <v>4800</v>
      </c>
      <c r="S37" s="319"/>
      <c r="T37" s="499">
        <v>738.39</v>
      </c>
      <c r="U37" s="319"/>
      <c r="V37" s="499"/>
      <c r="W37" s="319"/>
      <c r="X37" s="499">
        <v>0</v>
      </c>
      <c r="Y37" s="319"/>
      <c r="Z37" s="499"/>
      <c r="AA37" s="319"/>
      <c r="AB37" s="499">
        <v>0</v>
      </c>
      <c r="AC37" s="319"/>
      <c r="AD37" s="499"/>
      <c r="AE37" s="319"/>
      <c r="AF37" s="499">
        <v>0</v>
      </c>
      <c r="AG37" s="319"/>
      <c r="AH37" s="319"/>
      <c r="AI37" s="319"/>
      <c r="AJ37" s="499">
        <v>0</v>
      </c>
      <c r="AK37" s="319"/>
      <c r="AL37" s="499"/>
      <c r="AM37" s="319"/>
      <c r="AN37" s="499">
        <v>0</v>
      </c>
      <c r="AO37" s="319"/>
      <c r="AP37" s="499"/>
      <c r="AQ37" s="319"/>
      <c r="AR37" s="499">
        <v>0</v>
      </c>
      <c r="AS37" s="319"/>
      <c r="AT37" s="499"/>
      <c r="AU37" s="319"/>
      <c r="AV37" s="499">
        <v>103.44</v>
      </c>
      <c r="AW37" s="319"/>
      <c r="AX37" s="499"/>
      <c r="AY37" s="319"/>
      <c r="AZ37" s="499">
        <v>536.38</v>
      </c>
      <c r="BA37" s="319"/>
      <c r="BB37" s="499"/>
      <c r="BC37" s="319"/>
      <c r="BD37" s="499">
        <v>0</v>
      </c>
      <c r="BE37" s="319"/>
      <c r="BF37" s="319"/>
      <c r="BG37" s="319"/>
      <c r="BH37" s="499">
        <v>639.82000000000005</v>
      </c>
      <c r="BI37" s="319"/>
      <c r="BJ37" s="499"/>
      <c r="BK37" s="319"/>
      <c r="BL37" s="499">
        <v>0</v>
      </c>
      <c r="BM37" s="319"/>
      <c r="BN37" s="499"/>
      <c r="BO37" s="319"/>
      <c r="BP37" s="499">
        <v>7.49</v>
      </c>
      <c r="BQ37" s="319"/>
      <c r="BR37" s="499"/>
      <c r="BS37" s="319"/>
      <c r="BT37" s="499">
        <v>0</v>
      </c>
      <c r="BU37" s="319"/>
      <c r="BV37" s="499"/>
      <c r="BW37" s="319"/>
      <c r="BX37" s="499">
        <v>7.49</v>
      </c>
      <c r="BY37" s="319"/>
      <c r="BZ37" s="499"/>
      <c r="CA37" s="319"/>
      <c r="CB37" s="499">
        <v>647.30999999999995</v>
      </c>
      <c r="CC37" s="319"/>
      <c r="CD37" s="499"/>
      <c r="CE37" s="319"/>
      <c r="CF37" s="499">
        <v>0</v>
      </c>
      <c r="CG37" s="319"/>
      <c r="CH37" s="319"/>
      <c r="CI37" s="319"/>
      <c r="CJ37" s="499">
        <v>0</v>
      </c>
      <c r="CK37" s="319"/>
      <c r="CL37" s="319"/>
      <c r="CM37" s="319"/>
      <c r="CN37" s="499">
        <v>0</v>
      </c>
      <c r="CO37" s="319"/>
      <c r="CP37" s="319"/>
      <c r="CQ37" s="319"/>
      <c r="CR37" s="499">
        <v>0</v>
      </c>
      <c r="CS37" s="319"/>
      <c r="CT37" s="319"/>
      <c r="CU37" s="319"/>
      <c r="CV37" s="499">
        <v>0</v>
      </c>
      <c r="CW37" s="319"/>
      <c r="CX37" s="499">
        <v>0</v>
      </c>
      <c r="CY37" s="319"/>
      <c r="CZ37" s="499">
        <v>2085.4699999999998</v>
      </c>
      <c r="DA37" s="319"/>
      <c r="DB37" s="499">
        <v>4800</v>
      </c>
      <c r="DC37" s="533"/>
      <c r="DD37" s="511"/>
    </row>
    <row r="38" spans="1:108" x14ac:dyDescent="0.25">
      <c r="A38" s="496"/>
      <c r="B38" s="496"/>
      <c r="C38" s="496"/>
      <c r="D38" s="496"/>
      <c r="E38" s="496" t="s">
        <v>182</v>
      </c>
      <c r="F38" s="496"/>
      <c r="G38" s="496"/>
      <c r="H38" s="499">
        <v>0</v>
      </c>
      <c r="I38" s="319"/>
      <c r="J38" s="499"/>
      <c r="K38" s="319"/>
      <c r="L38" s="499">
        <v>0</v>
      </c>
      <c r="M38" s="319"/>
      <c r="N38" s="499">
        <v>0</v>
      </c>
      <c r="O38" s="319"/>
      <c r="P38" s="499">
        <v>0</v>
      </c>
      <c r="Q38" s="319"/>
      <c r="R38" s="499">
        <v>0</v>
      </c>
      <c r="S38" s="319"/>
      <c r="T38" s="499">
        <v>0</v>
      </c>
      <c r="U38" s="319"/>
      <c r="V38" s="499"/>
      <c r="W38" s="319"/>
      <c r="X38" s="499">
        <v>0</v>
      </c>
      <c r="Y38" s="319"/>
      <c r="Z38" s="499"/>
      <c r="AA38" s="319"/>
      <c r="AB38" s="499">
        <v>0</v>
      </c>
      <c r="AC38" s="319"/>
      <c r="AD38" s="499"/>
      <c r="AE38" s="319"/>
      <c r="AF38" s="499">
        <v>0</v>
      </c>
      <c r="AG38" s="319"/>
      <c r="AH38" s="319"/>
      <c r="AI38" s="319"/>
      <c r="AJ38" s="499">
        <v>0</v>
      </c>
      <c r="AK38" s="319"/>
      <c r="AL38" s="499"/>
      <c r="AM38" s="319"/>
      <c r="AN38" s="499">
        <v>0</v>
      </c>
      <c r="AO38" s="319"/>
      <c r="AP38" s="499"/>
      <c r="AQ38" s="319"/>
      <c r="AR38" s="499">
        <v>0</v>
      </c>
      <c r="AS38" s="319"/>
      <c r="AT38" s="499"/>
      <c r="AU38" s="319"/>
      <c r="AV38" s="499">
        <v>0</v>
      </c>
      <c r="AW38" s="319"/>
      <c r="AX38" s="499"/>
      <c r="AY38" s="319"/>
      <c r="AZ38" s="499">
        <v>0</v>
      </c>
      <c r="BA38" s="319"/>
      <c r="BB38" s="499"/>
      <c r="BC38" s="319"/>
      <c r="BD38" s="499">
        <v>0</v>
      </c>
      <c r="BE38" s="319"/>
      <c r="BF38" s="319"/>
      <c r="BG38" s="319"/>
      <c r="BH38" s="499">
        <v>0</v>
      </c>
      <c r="BI38" s="319"/>
      <c r="BJ38" s="499"/>
      <c r="BK38" s="319"/>
      <c r="BL38" s="499">
        <v>1838.5</v>
      </c>
      <c r="BM38" s="319"/>
      <c r="BN38" s="499"/>
      <c r="BO38" s="319"/>
      <c r="BP38" s="499">
        <v>0</v>
      </c>
      <c r="BQ38" s="319"/>
      <c r="BR38" s="499"/>
      <c r="BS38" s="319"/>
      <c r="BT38" s="499">
        <v>0</v>
      </c>
      <c r="BU38" s="319"/>
      <c r="BV38" s="499"/>
      <c r="BW38" s="319"/>
      <c r="BX38" s="499">
        <v>1838.5</v>
      </c>
      <c r="BY38" s="319"/>
      <c r="BZ38" s="499"/>
      <c r="CA38" s="319"/>
      <c r="CB38" s="499">
        <v>1838.5</v>
      </c>
      <c r="CC38" s="319"/>
      <c r="CD38" s="499"/>
      <c r="CE38" s="319"/>
      <c r="CF38" s="499">
        <v>0</v>
      </c>
      <c r="CG38" s="319"/>
      <c r="CH38" s="319"/>
      <c r="CI38" s="319"/>
      <c r="CJ38" s="499">
        <v>0</v>
      </c>
      <c r="CK38" s="319"/>
      <c r="CL38" s="319"/>
      <c r="CM38" s="319"/>
      <c r="CN38" s="499">
        <v>0</v>
      </c>
      <c r="CO38" s="319"/>
      <c r="CP38" s="319"/>
      <c r="CQ38" s="319"/>
      <c r="CR38" s="499">
        <v>0</v>
      </c>
      <c r="CS38" s="319"/>
      <c r="CT38" s="319"/>
      <c r="CU38" s="319"/>
      <c r="CV38" s="499">
        <v>0</v>
      </c>
      <c r="CW38" s="319"/>
      <c r="CX38" s="499">
        <v>0</v>
      </c>
      <c r="CY38" s="319"/>
      <c r="CZ38" s="499">
        <v>1838.5</v>
      </c>
      <c r="DA38" s="319"/>
      <c r="DB38" s="499">
        <v>0</v>
      </c>
      <c r="DC38" s="533"/>
    </row>
    <row r="39" spans="1:108" x14ac:dyDescent="0.25">
      <c r="A39" s="496"/>
      <c r="B39" s="496"/>
      <c r="C39" s="496"/>
      <c r="D39" s="496"/>
      <c r="E39" s="496" t="s">
        <v>183</v>
      </c>
      <c r="F39" s="496"/>
      <c r="G39" s="496"/>
      <c r="H39" s="499">
        <v>246.61</v>
      </c>
      <c r="I39" s="319"/>
      <c r="J39" s="499">
        <v>33</v>
      </c>
      <c r="K39" s="319"/>
      <c r="L39" s="499">
        <v>603.46</v>
      </c>
      <c r="M39" s="319"/>
      <c r="N39" s="499">
        <v>479</v>
      </c>
      <c r="O39" s="319"/>
      <c r="P39" s="499">
        <v>850.07</v>
      </c>
      <c r="Q39" s="319"/>
      <c r="R39" s="499">
        <v>512</v>
      </c>
      <c r="S39" s="319"/>
      <c r="T39" s="499">
        <v>578.91999999999996</v>
      </c>
      <c r="U39" s="319"/>
      <c r="V39" s="499">
        <v>432</v>
      </c>
      <c r="W39" s="319"/>
      <c r="X39" s="499">
        <v>3.63</v>
      </c>
      <c r="Y39" s="319"/>
      <c r="Z39" s="499">
        <v>7</v>
      </c>
      <c r="AA39" s="319"/>
      <c r="AB39" s="499">
        <v>74.260000000000005</v>
      </c>
      <c r="AC39" s="319"/>
      <c r="AD39" s="499">
        <v>1013</v>
      </c>
      <c r="AE39" s="319"/>
      <c r="AF39" s="499">
        <v>0</v>
      </c>
      <c r="AG39" s="319"/>
      <c r="AH39" s="319"/>
      <c r="AI39" s="319"/>
      <c r="AJ39" s="499">
        <v>77.89</v>
      </c>
      <c r="AK39" s="319"/>
      <c r="AL39" s="499">
        <v>1020</v>
      </c>
      <c r="AM39" s="319"/>
      <c r="AN39" s="499">
        <v>7.26</v>
      </c>
      <c r="AO39" s="319"/>
      <c r="AP39" s="499">
        <v>13</v>
      </c>
      <c r="AQ39" s="319"/>
      <c r="AR39" s="499">
        <v>131.51</v>
      </c>
      <c r="AS39" s="319"/>
      <c r="AT39" s="499">
        <v>39</v>
      </c>
      <c r="AU39" s="319"/>
      <c r="AV39" s="499">
        <v>9.49</v>
      </c>
      <c r="AW39" s="319"/>
      <c r="AX39" s="499">
        <v>13</v>
      </c>
      <c r="AY39" s="319"/>
      <c r="AZ39" s="499">
        <v>418.21</v>
      </c>
      <c r="BA39" s="319"/>
      <c r="BB39" s="499">
        <v>197</v>
      </c>
      <c r="BC39" s="319"/>
      <c r="BD39" s="499">
        <v>0</v>
      </c>
      <c r="BE39" s="319"/>
      <c r="BF39" s="319"/>
      <c r="BG39" s="319"/>
      <c r="BH39" s="499">
        <v>427.7</v>
      </c>
      <c r="BI39" s="319"/>
      <c r="BJ39" s="499">
        <v>210</v>
      </c>
      <c r="BK39" s="319"/>
      <c r="BL39" s="499">
        <v>166.6</v>
      </c>
      <c r="BM39" s="319"/>
      <c r="BN39" s="499">
        <v>53</v>
      </c>
      <c r="BO39" s="319"/>
      <c r="BP39" s="499">
        <v>192.9</v>
      </c>
      <c r="BQ39" s="319"/>
      <c r="BR39" s="499">
        <v>263</v>
      </c>
      <c r="BS39" s="319"/>
      <c r="BT39" s="499">
        <v>524.41999999999996</v>
      </c>
      <c r="BU39" s="319"/>
      <c r="BV39" s="499">
        <v>497</v>
      </c>
      <c r="BW39" s="319"/>
      <c r="BX39" s="499">
        <v>883.92</v>
      </c>
      <c r="BY39" s="319"/>
      <c r="BZ39" s="499">
        <v>813</v>
      </c>
      <c r="CA39" s="319"/>
      <c r="CB39" s="499">
        <v>1528.28</v>
      </c>
      <c r="CC39" s="319"/>
      <c r="CD39" s="499">
        <v>2095</v>
      </c>
      <c r="CE39" s="319"/>
      <c r="CF39" s="499">
        <v>0</v>
      </c>
      <c r="CG39" s="319"/>
      <c r="CH39" s="319"/>
      <c r="CI39" s="319"/>
      <c r="CJ39" s="499">
        <v>0</v>
      </c>
      <c r="CK39" s="319"/>
      <c r="CL39" s="319"/>
      <c r="CM39" s="319"/>
      <c r="CN39" s="499">
        <v>0</v>
      </c>
      <c r="CO39" s="319"/>
      <c r="CP39" s="319"/>
      <c r="CQ39" s="319"/>
      <c r="CR39" s="499">
        <v>0</v>
      </c>
      <c r="CS39" s="319"/>
      <c r="CT39" s="319"/>
      <c r="CU39" s="319"/>
      <c r="CV39" s="499">
        <v>0</v>
      </c>
      <c r="CW39" s="319"/>
      <c r="CX39" s="499">
        <v>0</v>
      </c>
      <c r="CY39" s="319"/>
      <c r="CZ39" s="499">
        <v>2957.27</v>
      </c>
      <c r="DA39" s="319"/>
      <c r="DB39" s="499">
        <v>3039</v>
      </c>
      <c r="DC39" s="533"/>
    </row>
    <row r="40" spans="1:108" x14ac:dyDescent="0.25">
      <c r="A40" s="496"/>
      <c r="B40" s="496"/>
      <c r="C40" s="496"/>
      <c r="D40" s="496"/>
      <c r="E40" s="496" t="s">
        <v>184</v>
      </c>
      <c r="F40" s="496"/>
      <c r="G40" s="496"/>
      <c r="H40" s="499">
        <v>56.7</v>
      </c>
      <c r="I40" s="319"/>
      <c r="J40" s="499">
        <v>129</v>
      </c>
      <c r="K40" s="319"/>
      <c r="L40" s="499">
        <v>136.05000000000001</v>
      </c>
      <c r="M40" s="319"/>
      <c r="N40" s="499">
        <v>2289</v>
      </c>
      <c r="O40" s="319"/>
      <c r="P40" s="499">
        <v>192.75</v>
      </c>
      <c r="Q40" s="319"/>
      <c r="R40" s="499">
        <v>2418</v>
      </c>
      <c r="S40" s="319"/>
      <c r="T40" s="499">
        <v>226.78</v>
      </c>
      <c r="U40" s="319"/>
      <c r="V40" s="499">
        <v>1595</v>
      </c>
      <c r="W40" s="319"/>
      <c r="X40" s="499">
        <v>11.33</v>
      </c>
      <c r="Y40" s="319"/>
      <c r="Z40" s="499">
        <v>26</v>
      </c>
      <c r="AA40" s="319"/>
      <c r="AB40" s="499">
        <v>22.68</v>
      </c>
      <c r="AC40" s="319"/>
      <c r="AD40" s="499">
        <v>52</v>
      </c>
      <c r="AE40" s="319"/>
      <c r="AF40" s="499">
        <v>0</v>
      </c>
      <c r="AG40" s="319"/>
      <c r="AH40" s="319"/>
      <c r="AI40" s="319"/>
      <c r="AJ40" s="499">
        <v>34.01</v>
      </c>
      <c r="AK40" s="319"/>
      <c r="AL40" s="499">
        <v>78</v>
      </c>
      <c r="AM40" s="319"/>
      <c r="AN40" s="499">
        <v>22.68</v>
      </c>
      <c r="AO40" s="319"/>
      <c r="AP40" s="499">
        <v>52</v>
      </c>
      <c r="AQ40" s="319"/>
      <c r="AR40" s="499">
        <v>68.03</v>
      </c>
      <c r="AS40" s="319"/>
      <c r="AT40" s="499">
        <v>155</v>
      </c>
      <c r="AU40" s="319"/>
      <c r="AV40" s="499">
        <v>22.68</v>
      </c>
      <c r="AW40" s="319"/>
      <c r="AX40" s="499">
        <v>52</v>
      </c>
      <c r="AY40" s="319"/>
      <c r="AZ40" s="499">
        <v>340.17</v>
      </c>
      <c r="BA40" s="319"/>
      <c r="BB40" s="499">
        <v>6713</v>
      </c>
      <c r="BC40" s="319"/>
      <c r="BD40" s="499">
        <v>0</v>
      </c>
      <c r="BE40" s="319"/>
      <c r="BF40" s="319"/>
      <c r="BG40" s="319"/>
      <c r="BH40" s="499">
        <v>362.85</v>
      </c>
      <c r="BI40" s="319"/>
      <c r="BJ40" s="499">
        <v>6765</v>
      </c>
      <c r="BK40" s="319"/>
      <c r="BL40" s="499">
        <v>90.71</v>
      </c>
      <c r="BM40" s="319"/>
      <c r="BN40" s="499">
        <v>206</v>
      </c>
      <c r="BO40" s="319"/>
      <c r="BP40" s="499">
        <v>453.56</v>
      </c>
      <c r="BQ40" s="319"/>
      <c r="BR40" s="499">
        <v>1030</v>
      </c>
      <c r="BS40" s="319"/>
      <c r="BT40" s="499">
        <v>340.17</v>
      </c>
      <c r="BU40" s="319"/>
      <c r="BV40" s="499">
        <v>773</v>
      </c>
      <c r="BW40" s="319"/>
      <c r="BX40" s="499">
        <v>884.44</v>
      </c>
      <c r="BY40" s="319"/>
      <c r="BZ40" s="499">
        <v>2009</v>
      </c>
      <c r="CA40" s="319"/>
      <c r="CB40" s="499">
        <v>1372.01</v>
      </c>
      <c r="CC40" s="319"/>
      <c r="CD40" s="499">
        <v>9059</v>
      </c>
      <c r="CE40" s="319"/>
      <c r="CF40" s="499">
        <v>0</v>
      </c>
      <c r="CG40" s="319"/>
      <c r="CH40" s="319"/>
      <c r="CI40" s="319"/>
      <c r="CJ40" s="499">
        <v>0</v>
      </c>
      <c r="CK40" s="319"/>
      <c r="CL40" s="319"/>
      <c r="CM40" s="319"/>
      <c r="CN40" s="499">
        <v>0</v>
      </c>
      <c r="CO40" s="319"/>
      <c r="CP40" s="319"/>
      <c r="CQ40" s="319"/>
      <c r="CR40" s="499">
        <v>0</v>
      </c>
      <c r="CS40" s="319"/>
      <c r="CT40" s="319"/>
      <c r="CU40" s="319"/>
      <c r="CV40" s="499">
        <v>0</v>
      </c>
      <c r="CW40" s="319"/>
      <c r="CX40" s="499">
        <v>0</v>
      </c>
      <c r="CY40" s="319"/>
      <c r="CZ40" s="499">
        <v>1791.54</v>
      </c>
      <c r="DA40" s="319"/>
      <c r="DB40" s="499">
        <v>13072</v>
      </c>
      <c r="DC40" s="533"/>
    </row>
    <row r="41" spans="1:108" x14ac:dyDescent="0.25">
      <c r="A41" s="496"/>
      <c r="B41" s="496"/>
      <c r="C41" s="496"/>
      <c r="D41" s="496"/>
      <c r="E41" s="496" t="s">
        <v>185</v>
      </c>
      <c r="F41" s="496"/>
      <c r="G41" s="496"/>
      <c r="H41" s="499">
        <v>44.92</v>
      </c>
      <c r="I41" s="319"/>
      <c r="J41" s="499">
        <v>15</v>
      </c>
      <c r="K41" s="319"/>
      <c r="L41" s="499">
        <v>-5.79</v>
      </c>
      <c r="M41" s="319"/>
      <c r="N41" s="499">
        <v>36</v>
      </c>
      <c r="O41" s="319"/>
      <c r="P41" s="499">
        <v>39.130000000000003</v>
      </c>
      <c r="Q41" s="319"/>
      <c r="R41" s="499">
        <v>51</v>
      </c>
      <c r="S41" s="319"/>
      <c r="T41" s="499">
        <v>291.08999999999997</v>
      </c>
      <c r="U41" s="319"/>
      <c r="V41" s="499">
        <v>2809</v>
      </c>
      <c r="W41" s="319"/>
      <c r="X41" s="499">
        <v>1.32</v>
      </c>
      <c r="Y41" s="319"/>
      <c r="Z41" s="499">
        <v>3</v>
      </c>
      <c r="AA41" s="319"/>
      <c r="AB41" s="499">
        <v>2.64</v>
      </c>
      <c r="AC41" s="319"/>
      <c r="AD41" s="499">
        <v>6</v>
      </c>
      <c r="AE41" s="319"/>
      <c r="AF41" s="499">
        <v>0</v>
      </c>
      <c r="AG41" s="319"/>
      <c r="AH41" s="319"/>
      <c r="AI41" s="319"/>
      <c r="AJ41" s="499">
        <v>3.96</v>
      </c>
      <c r="AK41" s="319"/>
      <c r="AL41" s="499">
        <v>9</v>
      </c>
      <c r="AM41" s="319"/>
      <c r="AN41" s="499">
        <v>2.64</v>
      </c>
      <c r="AO41" s="319"/>
      <c r="AP41" s="499">
        <v>6</v>
      </c>
      <c r="AQ41" s="319"/>
      <c r="AR41" s="499">
        <v>7.9</v>
      </c>
      <c r="AS41" s="319"/>
      <c r="AT41" s="499">
        <v>18</v>
      </c>
      <c r="AU41" s="319"/>
      <c r="AV41" s="499">
        <v>2.64</v>
      </c>
      <c r="AW41" s="319"/>
      <c r="AX41" s="499">
        <v>6</v>
      </c>
      <c r="AY41" s="319"/>
      <c r="AZ41" s="499">
        <v>39.479999999999997</v>
      </c>
      <c r="BA41" s="319"/>
      <c r="BB41" s="499">
        <v>89</v>
      </c>
      <c r="BC41" s="319"/>
      <c r="BD41" s="499">
        <v>0</v>
      </c>
      <c r="BE41" s="319"/>
      <c r="BF41" s="319"/>
      <c r="BG41" s="319"/>
      <c r="BH41" s="499">
        <v>42.12</v>
      </c>
      <c r="BI41" s="319"/>
      <c r="BJ41" s="499">
        <v>95</v>
      </c>
      <c r="BK41" s="319"/>
      <c r="BL41" s="499">
        <v>157.19</v>
      </c>
      <c r="BM41" s="319"/>
      <c r="BN41" s="499">
        <v>424</v>
      </c>
      <c r="BO41" s="319"/>
      <c r="BP41" s="499">
        <v>52.64</v>
      </c>
      <c r="BQ41" s="319"/>
      <c r="BR41" s="499">
        <v>118</v>
      </c>
      <c r="BS41" s="319"/>
      <c r="BT41" s="499">
        <v>39.479999999999997</v>
      </c>
      <c r="BU41" s="319"/>
      <c r="BV41" s="499">
        <v>239</v>
      </c>
      <c r="BW41" s="319"/>
      <c r="BX41" s="499">
        <v>249.31</v>
      </c>
      <c r="BY41" s="319"/>
      <c r="BZ41" s="499">
        <v>781</v>
      </c>
      <c r="CA41" s="319"/>
      <c r="CB41" s="499">
        <v>305.93</v>
      </c>
      <c r="CC41" s="319"/>
      <c r="CD41" s="499">
        <v>909</v>
      </c>
      <c r="CE41" s="319"/>
      <c r="CF41" s="499">
        <v>0</v>
      </c>
      <c r="CG41" s="319"/>
      <c r="CH41" s="319"/>
      <c r="CI41" s="319"/>
      <c r="CJ41" s="499">
        <v>0</v>
      </c>
      <c r="CK41" s="319"/>
      <c r="CL41" s="319"/>
      <c r="CM41" s="319"/>
      <c r="CN41" s="499">
        <v>0</v>
      </c>
      <c r="CO41" s="319"/>
      <c r="CP41" s="319"/>
      <c r="CQ41" s="319"/>
      <c r="CR41" s="499">
        <v>0</v>
      </c>
      <c r="CS41" s="319"/>
      <c r="CT41" s="319"/>
      <c r="CU41" s="319"/>
      <c r="CV41" s="499">
        <v>0</v>
      </c>
      <c r="CW41" s="319"/>
      <c r="CX41" s="499">
        <v>0</v>
      </c>
      <c r="CY41" s="319"/>
      <c r="CZ41" s="499">
        <v>636.15</v>
      </c>
      <c r="DA41" s="319"/>
      <c r="DB41" s="499">
        <v>3769</v>
      </c>
      <c r="DC41" s="533"/>
    </row>
    <row r="42" spans="1:108" x14ac:dyDescent="0.25">
      <c r="A42" s="496"/>
      <c r="B42" s="496"/>
      <c r="C42" s="496"/>
      <c r="D42" s="496"/>
      <c r="E42" s="496" t="s">
        <v>186</v>
      </c>
      <c r="F42" s="496"/>
      <c r="G42" s="496"/>
      <c r="H42" s="499">
        <v>220.99</v>
      </c>
      <c r="I42" s="319"/>
      <c r="J42" s="499">
        <v>522</v>
      </c>
      <c r="K42" s="319"/>
      <c r="L42" s="499">
        <v>887.1</v>
      </c>
      <c r="M42" s="319"/>
      <c r="N42" s="499">
        <v>2109</v>
      </c>
      <c r="O42" s="319"/>
      <c r="P42" s="499">
        <v>1108.0899999999999</v>
      </c>
      <c r="Q42" s="319"/>
      <c r="R42" s="499">
        <v>2631</v>
      </c>
      <c r="S42" s="319"/>
      <c r="T42" s="499">
        <v>833.07</v>
      </c>
      <c r="U42" s="319"/>
      <c r="V42" s="499">
        <v>1841</v>
      </c>
      <c r="W42" s="319"/>
      <c r="X42" s="499">
        <v>41.42</v>
      </c>
      <c r="Y42" s="319"/>
      <c r="Z42" s="499">
        <v>98</v>
      </c>
      <c r="AA42" s="319"/>
      <c r="AB42" s="499">
        <v>96.66</v>
      </c>
      <c r="AC42" s="319"/>
      <c r="AD42" s="499">
        <v>229</v>
      </c>
      <c r="AE42" s="319"/>
      <c r="AF42" s="499">
        <v>0</v>
      </c>
      <c r="AG42" s="319"/>
      <c r="AH42" s="319"/>
      <c r="AI42" s="319"/>
      <c r="AJ42" s="499">
        <v>138.08000000000001</v>
      </c>
      <c r="AK42" s="319"/>
      <c r="AL42" s="499">
        <v>327</v>
      </c>
      <c r="AM42" s="319"/>
      <c r="AN42" s="499">
        <v>82.86</v>
      </c>
      <c r="AO42" s="319"/>
      <c r="AP42" s="499">
        <v>195</v>
      </c>
      <c r="AQ42" s="319"/>
      <c r="AR42" s="499">
        <v>245.29</v>
      </c>
      <c r="AS42" s="319"/>
      <c r="AT42" s="499">
        <v>558</v>
      </c>
      <c r="AU42" s="319"/>
      <c r="AV42" s="499">
        <v>74.959999999999994</v>
      </c>
      <c r="AW42" s="319"/>
      <c r="AX42" s="499">
        <v>177</v>
      </c>
      <c r="AY42" s="319"/>
      <c r="AZ42" s="499">
        <v>1169.18</v>
      </c>
      <c r="BA42" s="319"/>
      <c r="BB42" s="499">
        <v>2735</v>
      </c>
      <c r="BC42" s="319"/>
      <c r="BD42" s="499">
        <v>0</v>
      </c>
      <c r="BE42" s="319"/>
      <c r="BF42" s="319"/>
      <c r="BG42" s="319"/>
      <c r="BH42" s="499">
        <v>1244.1400000000001</v>
      </c>
      <c r="BI42" s="319"/>
      <c r="BJ42" s="499">
        <v>2912</v>
      </c>
      <c r="BK42" s="319"/>
      <c r="BL42" s="499">
        <v>359.1</v>
      </c>
      <c r="BM42" s="319"/>
      <c r="BN42" s="499">
        <v>848</v>
      </c>
      <c r="BO42" s="319"/>
      <c r="BP42" s="499">
        <v>1140.5999999999999</v>
      </c>
      <c r="BQ42" s="319"/>
      <c r="BR42" s="499">
        <v>2736</v>
      </c>
      <c r="BS42" s="319"/>
      <c r="BT42" s="499">
        <v>748.21</v>
      </c>
      <c r="BU42" s="319"/>
      <c r="BV42" s="499">
        <v>2261</v>
      </c>
      <c r="BW42" s="319"/>
      <c r="BX42" s="499">
        <v>2247.91</v>
      </c>
      <c r="BY42" s="319"/>
      <c r="BZ42" s="499">
        <v>5845</v>
      </c>
      <c r="CA42" s="319"/>
      <c r="CB42" s="499">
        <v>3958.28</v>
      </c>
      <c r="CC42" s="319"/>
      <c r="CD42" s="499">
        <v>9837</v>
      </c>
      <c r="CE42" s="319"/>
      <c r="CF42" s="499">
        <v>0</v>
      </c>
      <c r="CG42" s="319"/>
      <c r="CH42" s="319"/>
      <c r="CI42" s="319"/>
      <c r="CJ42" s="499">
        <v>0</v>
      </c>
      <c r="CK42" s="319"/>
      <c r="CL42" s="319"/>
      <c r="CM42" s="319"/>
      <c r="CN42" s="499">
        <v>0</v>
      </c>
      <c r="CO42" s="319"/>
      <c r="CP42" s="319"/>
      <c r="CQ42" s="319"/>
      <c r="CR42" s="499">
        <v>0</v>
      </c>
      <c r="CS42" s="319"/>
      <c r="CT42" s="319"/>
      <c r="CU42" s="319"/>
      <c r="CV42" s="499">
        <v>0</v>
      </c>
      <c r="CW42" s="319"/>
      <c r="CX42" s="499">
        <v>0</v>
      </c>
      <c r="CY42" s="319"/>
      <c r="CZ42" s="499">
        <v>5899.44</v>
      </c>
      <c r="DA42" s="319"/>
      <c r="DB42" s="499">
        <v>14309</v>
      </c>
      <c r="DC42" s="533"/>
    </row>
    <row r="43" spans="1:108" x14ac:dyDescent="0.25">
      <c r="A43" s="496"/>
      <c r="B43" s="496"/>
      <c r="C43" s="496"/>
      <c r="D43" s="496"/>
      <c r="E43" s="496" t="s">
        <v>187</v>
      </c>
      <c r="F43" s="496"/>
      <c r="G43" s="496"/>
      <c r="H43" s="499">
        <v>37.4</v>
      </c>
      <c r="I43" s="319"/>
      <c r="J43" s="499">
        <v>91</v>
      </c>
      <c r="K43" s="319"/>
      <c r="L43" s="499">
        <v>89.7</v>
      </c>
      <c r="M43" s="319"/>
      <c r="N43" s="499">
        <v>218</v>
      </c>
      <c r="O43" s="319"/>
      <c r="P43" s="499">
        <v>127.1</v>
      </c>
      <c r="Q43" s="319"/>
      <c r="R43" s="499">
        <v>309</v>
      </c>
      <c r="S43" s="319"/>
      <c r="T43" s="499">
        <v>149.5</v>
      </c>
      <c r="U43" s="319"/>
      <c r="V43" s="499">
        <v>363</v>
      </c>
      <c r="W43" s="319"/>
      <c r="X43" s="499">
        <v>7.5</v>
      </c>
      <c r="Y43" s="319"/>
      <c r="Z43" s="499">
        <v>18</v>
      </c>
      <c r="AA43" s="319"/>
      <c r="AB43" s="499">
        <v>14.95</v>
      </c>
      <c r="AC43" s="319"/>
      <c r="AD43" s="499">
        <v>36</v>
      </c>
      <c r="AE43" s="319"/>
      <c r="AF43" s="499">
        <v>0</v>
      </c>
      <c r="AG43" s="319"/>
      <c r="AH43" s="319"/>
      <c r="AI43" s="319"/>
      <c r="AJ43" s="499">
        <v>22.45</v>
      </c>
      <c r="AK43" s="319"/>
      <c r="AL43" s="499">
        <v>54</v>
      </c>
      <c r="AM43" s="319"/>
      <c r="AN43" s="499">
        <v>14.95</v>
      </c>
      <c r="AO43" s="319"/>
      <c r="AP43" s="499">
        <v>36</v>
      </c>
      <c r="AQ43" s="319"/>
      <c r="AR43" s="499">
        <v>44.85</v>
      </c>
      <c r="AS43" s="319"/>
      <c r="AT43" s="499">
        <v>109</v>
      </c>
      <c r="AU43" s="319"/>
      <c r="AV43" s="499">
        <v>14.95</v>
      </c>
      <c r="AW43" s="319"/>
      <c r="AX43" s="499">
        <v>36</v>
      </c>
      <c r="AY43" s="319"/>
      <c r="AZ43" s="499">
        <v>224.3</v>
      </c>
      <c r="BA43" s="319"/>
      <c r="BB43" s="499">
        <v>545</v>
      </c>
      <c r="BC43" s="319"/>
      <c r="BD43" s="499">
        <v>0</v>
      </c>
      <c r="BE43" s="319"/>
      <c r="BF43" s="319"/>
      <c r="BG43" s="319"/>
      <c r="BH43" s="499">
        <v>239.25</v>
      </c>
      <c r="BI43" s="319"/>
      <c r="BJ43" s="499">
        <v>581</v>
      </c>
      <c r="BK43" s="319"/>
      <c r="BL43" s="499">
        <v>59.8</v>
      </c>
      <c r="BM43" s="319"/>
      <c r="BN43" s="499">
        <v>145</v>
      </c>
      <c r="BO43" s="319"/>
      <c r="BP43" s="499">
        <v>299.05</v>
      </c>
      <c r="BQ43" s="319"/>
      <c r="BR43" s="499">
        <v>726</v>
      </c>
      <c r="BS43" s="319"/>
      <c r="BT43" s="499">
        <v>404.3</v>
      </c>
      <c r="BU43" s="319"/>
      <c r="BV43" s="499">
        <v>545</v>
      </c>
      <c r="BW43" s="319"/>
      <c r="BX43" s="499">
        <v>763.15</v>
      </c>
      <c r="BY43" s="319"/>
      <c r="BZ43" s="499">
        <v>1416</v>
      </c>
      <c r="CA43" s="319"/>
      <c r="CB43" s="499">
        <v>1084.6500000000001</v>
      </c>
      <c r="CC43" s="319"/>
      <c r="CD43" s="499">
        <v>2196</v>
      </c>
      <c r="CE43" s="319"/>
      <c r="CF43" s="499">
        <v>0</v>
      </c>
      <c r="CG43" s="319"/>
      <c r="CH43" s="319"/>
      <c r="CI43" s="319"/>
      <c r="CJ43" s="499">
        <v>0</v>
      </c>
      <c r="CK43" s="319"/>
      <c r="CL43" s="319"/>
      <c r="CM43" s="319"/>
      <c r="CN43" s="499">
        <v>0</v>
      </c>
      <c r="CO43" s="319"/>
      <c r="CP43" s="319"/>
      <c r="CQ43" s="319"/>
      <c r="CR43" s="499">
        <v>0</v>
      </c>
      <c r="CS43" s="319"/>
      <c r="CT43" s="319"/>
      <c r="CU43" s="319"/>
      <c r="CV43" s="499">
        <v>0</v>
      </c>
      <c r="CW43" s="319"/>
      <c r="CX43" s="499">
        <v>0</v>
      </c>
      <c r="CY43" s="319"/>
      <c r="CZ43" s="499">
        <v>1361.25</v>
      </c>
      <c r="DA43" s="319"/>
      <c r="DB43" s="499">
        <v>2868</v>
      </c>
      <c r="DC43" s="533"/>
    </row>
    <row r="44" spans="1:108" x14ac:dyDescent="0.25">
      <c r="A44" s="496"/>
      <c r="B44" s="496"/>
      <c r="C44" s="496"/>
      <c r="D44" s="496"/>
      <c r="E44" s="496" t="s">
        <v>188</v>
      </c>
      <c r="F44" s="496"/>
      <c r="G44" s="496"/>
      <c r="H44" s="499">
        <v>11.38</v>
      </c>
      <c r="I44" s="319"/>
      <c r="J44" s="499">
        <v>26</v>
      </c>
      <c r="K44" s="319"/>
      <c r="L44" s="499">
        <v>40.94</v>
      </c>
      <c r="M44" s="319"/>
      <c r="N44" s="499">
        <v>63</v>
      </c>
      <c r="O44" s="319"/>
      <c r="P44" s="499">
        <v>52.32</v>
      </c>
      <c r="Q44" s="319"/>
      <c r="R44" s="499">
        <v>89</v>
      </c>
      <c r="S44" s="319"/>
      <c r="T44" s="499">
        <v>45.55</v>
      </c>
      <c r="U44" s="319"/>
      <c r="V44" s="499">
        <v>7985</v>
      </c>
      <c r="W44" s="319"/>
      <c r="X44" s="499">
        <v>2.2799999999999998</v>
      </c>
      <c r="Y44" s="319"/>
      <c r="Z44" s="499">
        <v>5</v>
      </c>
      <c r="AA44" s="319"/>
      <c r="AB44" s="499">
        <v>4.55</v>
      </c>
      <c r="AC44" s="319"/>
      <c r="AD44" s="499">
        <v>11</v>
      </c>
      <c r="AE44" s="319"/>
      <c r="AF44" s="499">
        <v>0</v>
      </c>
      <c r="AG44" s="319"/>
      <c r="AH44" s="319"/>
      <c r="AI44" s="319"/>
      <c r="AJ44" s="499">
        <v>6.83</v>
      </c>
      <c r="AK44" s="319"/>
      <c r="AL44" s="499">
        <v>16</v>
      </c>
      <c r="AM44" s="319"/>
      <c r="AN44" s="499">
        <v>4.55</v>
      </c>
      <c r="AO44" s="319"/>
      <c r="AP44" s="499">
        <v>11</v>
      </c>
      <c r="AQ44" s="319"/>
      <c r="AR44" s="499">
        <v>13.67</v>
      </c>
      <c r="AS44" s="319"/>
      <c r="AT44" s="499">
        <v>32</v>
      </c>
      <c r="AU44" s="319"/>
      <c r="AV44" s="499">
        <v>4.55</v>
      </c>
      <c r="AW44" s="319"/>
      <c r="AX44" s="499">
        <v>11</v>
      </c>
      <c r="AY44" s="319"/>
      <c r="AZ44" s="499">
        <v>68.33</v>
      </c>
      <c r="BA44" s="319"/>
      <c r="BB44" s="499">
        <v>158</v>
      </c>
      <c r="BC44" s="319"/>
      <c r="BD44" s="499">
        <v>0</v>
      </c>
      <c r="BE44" s="319"/>
      <c r="BF44" s="319"/>
      <c r="BG44" s="319"/>
      <c r="BH44" s="499">
        <v>72.88</v>
      </c>
      <c r="BI44" s="319"/>
      <c r="BJ44" s="499">
        <v>169</v>
      </c>
      <c r="BK44" s="319"/>
      <c r="BL44" s="499">
        <v>21.32</v>
      </c>
      <c r="BM44" s="319"/>
      <c r="BN44" s="499">
        <v>42</v>
      </c>
      <c r="BO44" s="319"/>
      <c r="BP44" s="499">
        <v>91.11</v>
      </c>
      <c r="BQ44" s="319"/>
      <c r="BR44" s="499">
        <v>211</v>
      </c>
      <c r="BS44" s="319"/>
      <c r="BT44" s="499">
        <v>68.33</v>
      </c>
      <c r="BU44" s="319"/>
      <c r="BV44" s="499">
        <v>158</v>
      </c>
      <c r="BW44" s="319"/>
      <c r="BX44" s="499">
        <v>180.76</v>
      </c>
      <c r="BY44" s="319"/>
      <c r="BZ44" s="499">
        <v>411</v>
      </c>
      <c r="CA44" s="319"/>
      <c r="CB44" s="499">
        <v>278.69</v>
      </c>
      <c r="CC44" s="319"/>
      <c r="CD44" s="499">
        <v>639</v>
      </c>
      <c r="CE44" s="319"/>
      <c r="CF44" s="499">
        <v>0</v>
      </c>
      <c r="CG44" s="319"/>
      <c r="CH44" s="319"/>
      <c r="CI44" s="319"/>
      <c r="CJ44" s="499">
        <v>0</v>
      </c>
      <c r="CK44" s="319"/>
      <c r="CL44" s="319"/>
      <c r="CM44" s="319"/>
      <c r="CN44" s="499">
        <v>0</v>
      </c>
      <c r="CO44" s="319"/>
      <c r="CP44" s="319"/>
      <c r="CQ44" s="319"/>
      <c r="CR44" s="499">
        <v>0</v>
      </c>
      <c r="CS44" s="319"/>
      <c r="CT44" s="319"/>
      <c r="CU44" s="319"/>
      <c r="CV44" s="499">
        <v>0</v>
      </c>
      <c r="CW44" s="319"/>
      <c r="CX44" s="499">
        <v>0</v>
      </c>
      <c r="CY44" s="319"/>
      <c r="CZ44" s="499">
        <v>376.56</v>
      </c>
      <c r="DA44" s="319"/>
      <c r="DB44" s="499">
        <v>8713</v>
      </c>
      <c r="DC44" s="533"/>
    </row>
    <row r="45" spans="1:108" x14ac:dyDescent="0.25">
      <c r="A45" s="496"/>
      <c r="B45" s="496"/>
      <c r="C45" s="496"/>
      <c r="D45" s="496"/>
      <c r="E45" s="496" t="s">
        <v>189</v>
      </c>
      <c r="F45" s="496"/>
      <c r="G45" s="496"/>
      <c r="H45" s="499">
        <v>4965.3100000000004</v>
      </c>
      <c r="I45" s="319"/>
      <c r="J45" s="499">
        <v>15008</v>
      </c>
      <c r="K45" s="319"/>
      <c r="L45" s="499">
        <v>646.09</v>
      </c>
      <c r="M45" s="319"/>
      <c r="N45" s="499">
        <v>2020</v>
      </c>
      <c r="O45" s="319"/>
      <c r="P45" s="499">
        <v>5611.4</v>
      </c>
      <c r="Q45" s="319"/>
      <c r="R45" s="499">
        <v>17028</v>
      </c>
      <c r="S45" s="319"/>
      <c r="T45" s="499">
        <v>1400.15</v>
      </c>
      <c r="U45" s="319"/>
      <c r="V45" s="499">
        <v>533</v>
      </c>
      <c r="W45" s="319"/>
      <c r="X45" s="499">
        <v>621.25</v>
      </c>
      <c r="Y45" s="319"/>
      <c r="Z45" s="499">
        <v>1502</v>
      </c>
      <c r="AA45" s="319"/>
      <c r="AB45" s="499">
        <v>289.52999999999997</v>
      </c>
      <c r="AC45" s="319"/>
      <c r="AD45" s="499">
        <v>4003</v>
      </c>
      <c r="AE45" s="319"/>
      <c r="AF45" s="499">
        <v>0</v>
      </c>
      <c r="AG45" s="319"/>
      <c r="AH45" s="319"/>
      <c r="AI45" s="319"/>
      <c r="AJ45" s="499">
        <v>910.78</v>
      </c>
      <c r="AK45" s="319"/>
      <c r="AL45" s="499">
        <v>5505</v>
      </c>
      <c r="AM45" s="319"/>
      <c r="AN45" s="499">
        <v>0</v>
      </c>
      <c r="AO45" s="319"/>
      <c r="AP45" s="499">
        <v>3</v>
      </c>
      <c r="AQ45" s="319"/>
      <c r="AR45" s="499">
        <v>1444.95</v>
      </c>
      <c r="AS45" s="319"/>
      <c r="AT45" s="499">
        <v>10</v>
      </c>
      <c r="AU45" s="319"/>
      <c r="AV45" s="499">
        <v>0</v>
      </c>
      <c r="AW45" s="319"/>
      <c r="AX45" s="499">
        <v>3</v>
      </c>
      <c r="AY45" s="319"/>
      <c r="AZ45" s="499">
        <v>2.4700000000000002</v>
      </c>
      <c r="BA45" s="319"/>
      <c r="BB45" s="499">
        <v>549</v>
      </c>
      <c r="BC45" s="319"/>
      <c r="BD45" s="499">
        <v>0</v>
      </c>
      <c r="BE45" s="319"/>
      <c r="BF45" s="319"/>
      <c r="BG45" s="319"/>
      <c r="BH45" s="499">
        <v>2.4700000000000002</v>
      </c>
      <c r="BI45" s="319"/>
      <c r="BJ45" s="499">
        <v>552</v>
      </c>
      <c r="BK45" s="319"/>
      <c r="BL45" s="499">
        <v>827.98</v>
      </c>
      <c r="BM45" s="319"/>
      <c r="BN45" s="499">
        <v>1013</v>
      </c>
      <c r="BO45" s="319"/>
      <c r="BP45" s="499">
        <v>125.49</v>
      </c>
      <c r="BQ45" s="319"/>
      <c r="BR45" s="499">
        <v>66</v>
      </c>
      <c r="BS45" s="319"/>
      <c r="BT45" s="499">
        <v>1200.18</v>
      </c>
      <c r="BU45" s="319"/>
      <c r="BV45" s="499">
        <v>4049</v>
      </c>
      <c r="BW45" s="319"/>
      <c r="BX45" s="499">
        <v>2153.65</v>
      </c>
      <c r="BY45" s="319"/>
      <c r="BZ45" s="499">
        <v>5128</v>
      </c>
      <c r="CA45" s="319"/>
      <c r="CB45" s="499">
        <v>4511.8500000000004</v>
      </c>
      <c r="CC45" s="319"/>
      <c r="CD45" s="499">
        <v>11198</v>
      </c>
      <c r="CE45" s="319"/>
      <c r="CF45" s="499">
        <v>0</v>
      </c>
      <c r="CG45" s="319"/>
      <c r="CH45" s="319"/>
      <c r="CI45" s="319"/>
      <c r="CJ45" s="499">
        <v>0.09</v>
      </c>
      <c r="CK45" s="319"/>
      <c r="CL45" s="319"/>
      <c r="CM45" s="319"/>
      <c r="CN45" s="499">
        <v>0</v>
      </c>
      <c r="CO45" s="319"/>
      <c r="CP45" s="319"/>
      <c r="CQ45" s="319"/>
      <c r="CR45" s="499">
        <v>0.09</v>
      </c>
      <c r="CS45" s="319"/>
      <c r="CT45" s="319"/>
      <c r="CU45" s="319"/>
      <c r="CV45" s="499">
        <v>0</v>
      </c>
      <c r="CW45" s="319"/>
      <c r="CX45" s="499">
        <v>0</v>
      </c>
      <c r="CY45" s="319"/>
      <c r="CZ45" s="499">
        <v>11523.49</v>
      </c>
      <c r="DA45" s="319"/>
      <c r="DB45" s="499">
        <v>28759</v>
      </c>
      <c r="DC45" s="533"/>
    </row>
    <row r="46" spans="1:108" x14ac:dyDescent="0.25">
      <c r="A46" s="496"/>
      <c r="B46" s="496"/>
      <c r="C46" s="496"/>
      <c r="D46" s="496"/>
      <c r="E46" s="496" t="s">
        <v>190</v>
      </c>
      <c r="F46" s="496"/>
      <c r="G46" s="496"/>
      <c r="H46" s="499">
        <v>6.38</v>
      </c>
      <c r="I46" s="319"/>
      <c r="J46" s="499"/>
      <c r="K46" s="319"/>
      <c r="L46" s="499">
        <v>15.32</v>
      </c>
      <c r="M46" s="319"/>
      <c r="N46" s="499"/>
      <c r="O46" s="319"/>
      <c r="P46" s="499">
        <v>21.7</v>
      </c>
      <c r="Q46" s="319"/>
      <c r="R46" s="499"/>
      <c r="S46" s="319"/>
      <c r="T46" s="499">
        <v>25.53</v>
      </c>
      <c r="U46" s="319"/>
      <c r="V46" s="499">
        <v>1258</v>
      </c>
      <c r="W46" s="319"/>
      <c r="X46" s="499">
        <v>1.28</v>
      </c>
      <c r="Y46" s="319"/>
      <c r="Z46" s="499"/>
      <c r="AA46" s="319"/>
      <c r="AB46" s="499">
        <v>2.5499999999999998</v>
      </c>
      <c r="AC46" s="319"/>
      <c r="AD46" s="499"/>
      <c r="AE46" s="319"/>
      <c r="AF46" s="499">
        <v>0</v>
      </c>
      <c r="AG46" s="319"/>
      <c r="AH46" s="319"/>
      <c r="AI46" s="319"/>
      <c r="AJ46" s="499">
        <v>3.83</v>
      </c>
      <c r="AK46" s="319"/>
      <c r="AL46" s="499"/>
      <c r="AM46" s="319"/>
      <c r="AN46" s="499">
        <v>2.5499999999999998</v>
      </c>
      <c r="AO46" s="319"/>
      <c r="AP46" s="499"/>
      <c r="AQ46" s="319"/>
      <c r="AR46" s="499">
        <v>7.66</v>
      </c>
      <c r="AS46" s="319"/>
      <c r="AT46" s="499"/>
      <c r="AU46" s="319"/>
      <c r="AV46" s="499">
        <v>2.5499999999999998</v>
      </c>
      <c r="AW46" s="319"/>
      <c r="AX46" s="499"/>
      <c r="AY46" s="319"/>
      <c r="AZ46" s="499">
        <v>38.29</v>
      </c>
      <c r="BA46" s="319"/>
      <c r="BB46" s="499">
        <v>5000</v>
      </c>
      <c r="BC46" s="319"/>
      <c r="BD46" s="499">
        <v>0</v>
      </c>
      <c r="BE46" s="319"/>
      <c r="BF46" s="319"/>
      <c r="BG46" s="319"/>
      <c r="BH46" s="499">
        <v>40.840000000000003</v>
      </c>
      <c r="BI46" s="319"/>
      <c r="BJ46" s="499">
        <v>5000</v>
      </c>
      <c r="BK46" s="319"/>
      <c r="BL46" s="499">
        <v>10.210000000000001</v>
      </c>
      <c r="BM46" s="319"/>
      <c r="BN46" s="499"/>
      <c r="BO46" s="319"/>
      <c r="BP46" s="499">
        <v>51.05</v>
      </c>
      <c r="BQ46" s="319"/>
      <c r="BR46" s="499"/>
      <c r="BS46" s="319"/>
      <c r="BT46" s="499">
        <v>38.29</v>
      </c>
      <c r="BU46" s="319"/>
      <c r="BV46" s="499"/>
      <c r="BW46" s="319"/>
      <c r="BX46" s="499">
        <v>99.55</v>
      </c>
      <c r="BY46" s="319"/>
      <c r="BZ46" s="499"/>
      <c r="CA46" s="319"/>
      <c r="CB46" s="499">
        <v>154.43</v>
      </c>
      <c r="CC46" s="319"/>
      <c r="CD46" s="499">
        <v>5000</v>
      </c>
      <c r="CE46" s="319"/>
      <c r="CF46" s="499">
        <v>0</v>
      </c>
      <c r="CG46" s="319"/>
      <c r="CH46" s="319"/>
      <c r="CI46" s="319"/>
      <c r="CJ46" s="499">
        <v>0</v>
      </c>
      <c r="CK46" s="319"/>
      <c r="CL46" s="319"/>
      <c r="CM46" s="319"/>
      <c r="CN46" s="499">
        <v>0</v>
      </c>
      <c r="CO46" s="319"/>
      <c r="CP46" s="319"/>
      <c r="CQ46" s="319"/>
      <c r="CR46" s="499">
        <v>0</v>
      </c>
      <c r="CS46" s="319"/>
      <c r="CT46" s="319"/>
      <c r="CU46" s="319"/>
      <c r="CV46" s="499">
        <v>0</v>
      </c>
      <c r="CW46" s="319"/>
      <c r="CX46" s="499">
        <v>0</v>
      </c>
      <c r="CY46" s="319"/>
      <c r="CZ46" s="499">
        <v>201.66</v>
      </c>
      <c r="DA46" s="319"/>
      <c r="DB46" s="499">
        <v>6258</v>
      </c>
      <c r="DC46" s="533"/>
    </row>
    <row r="47" spans="1:108" x14ac:dyDescent="0.25">
      <c r="A47" s="496"/>
      <c r="B47" s="496"/>
      <c r="C47" s="496"/>
      <c r="D47" s="496"/>
      <c r="E47" s="496" t="s">
        <v>192</v>
      </c>
      <c r="F47" s="496"/>
      <c r="G47" s="496"/>
      <c r="H47" s="499">
        <v>741.75</v>
      </c>
      <c r="I47" s="319"/>
      <c r="J47" s="499">
        <v>1708</v>
      </c>
      <c r="K47" s="319"/>
      <c r="L47" s="499">
        <v>50.7</v>
      </c>
      <c r="M47" s="319"/>
      <c r="N47" s="499">
        <v>6726</v>
      </c>
      <c r="O47" s="319"/>
      <c r="P47" s="499">
        <v>792.45</v>
      </c>
      <c r="Q47" s="319"/>
      <c r="R47" s="499">
        <v>8434</v>
      </c>
      <c r="S47" s="319"/>
      <c r="T47" s="499">
        <v>76.7</v>
      </c>
      <c r="U47" s="319"/>
      <c r="V47" s="499">
        <v>342</v>
      </c>
      <c r="W47" s="319"/>
      <c r="X47" s="499">
        <v>4.8</v>
      </c>
      <c r="Y47" s="319"/>
      <c r="Z47" s="499">
        <v>2</v>
      </c>
      <c r="AA47" s="319"/>
      <c r="AB47" s="499">
        <v>19.149999999999999</v>
      </c>
      <c r="AC47" s="319"/>
      <c r="AD47" s="499">
        <v>4</v>
      </c>
      <c r="AE47" s="319"/>
      <c r="AF47" s="499">
        <v>0</v>
      </c>
      <c r="AG47" s="319"/>
      <c r="AH47" s="319"/>
      <c r="AI47" s="319"/>
      <c r="AJ47" s="499">
        <v>23.95</v>
      </c>
      <c r="AK47" s="319"/>
      <c r="AL47" s="499">
        <v>6</v>
      </c>
      <c r="AM47" s="319"/>
      <c r="AN47" s="499">
        <v>33.5</v>
      </c>
      <c r="AO47" s="319"/>
      <c r="AP47" s="499">
        <v>60</v>
      </c>
      <c r="AQ47" s="319"/>
      <c r="AR47" s="499">
        <v>47.9</v>
      </c>
      <c r="AS47" s="319"/>
      <c r="AT47" s="499">
        <v>294</v>
      </c>
      <c r="AU47" s="319"/>
      <c r="AV47" s="499">
        <v>9.5500000000000007</v>
      </c>
      <c r="AW47" s="319"/>
      <c r="AX47" s="499">
        <v>79</v>
      </c>
      <c r="AY47" s="319"/>
      <c r="AZ47" s="499">
        <v>110.15</v>
      </c>
      <c r="BA47" s="319"/>
      <c r="BB47" s="499">
        <v>457</v>
      </c>
      <c r="BC47" s="319"/>
      <c r="BD47" s="499">
        <v>0</v>
      </c>
      <c r="BE47" s="319"/>
      <c r="BF47" s="319"/>
      <c r="BG47" s="319"/>
      <c r="BH47" s="499">
        <v>119.7</v>
      </c>
      <c r="BI47" s="319"/>
      <c r="BJ47" s="499">
        <v>536</v>
      </c>
      <c r="BK47" s="319"/>
      <c r="BL47" s="499">
        <v>0</v>
      </c>
      <c r="BM47" s="319"/>
      <c r="BN47" s="499">
        <v>17</v>
      </c>
      <c r="BO47" s="319"/>
      <c r="BP47" s="499">
        <v>0</v>
      </c>
      <c r="BQ47" s="319"/>
      <c r="BR47" s="499">
        <v>83</v>
      </c>
      <c r="BS47" s="319"/>
      <c r="BT47" s="499">
        <v>244.3</v>
      </c>
      <c r="BU47" s="319"/>
      <c r="BV47" s="499">
        <v>720</v>
      </c>
      <c r="BW47" s="319"/>
      <c r="BX47" s="499">
        <v>244.3</v>
      </c>
      <c r="BY47" s="319"/>
      <c r="BZ47" s="499">
        <v>820</v>
      </c>
      <c r="CA47" s="319"/>
      <c r="CB47" s="499">
        <v>469.35</v>
      </c>
      <c r="CC47" s="319"/>
      <c r="CD47" s="499">
        <v>1716</v>
      </c>
      <c r="CE47" s="319"/>
      <c r="CF47" s="499">
        <v>0</v>
      </c>
      <c r="CG47" s="319"/>
      <c r="CH47" s="319"/>
      <c r="CI47" s="319"/>
      <c r="CJ47" s="499">
        <v>0</v>
      </c>
      <c r="CK47" s="319"/>
      <c r="CL47" s="319"/>
      <c r="CM47" s="319"/>
      <c r="CN47" s="499">
        <v>0</v>
      </c>
      <c r="CO47" s="319"/>
      <c r="CP47" s="319"/>
      <c r="CQ47" s="319"/>
      <c r="CR47" s="499">
        <v>0</v>
      </c>
      <c r="CS47" s="319"/>
      <c r="CT47" s="319"/>
      <c r="CU47" s="319"/>
      <c r="CV47" s="499">
        <v>0</v>
      </c>
      <c r="CW47" s="319"/>
      <c r="CX47" s="499">
        <v>0</v>
      </c>
      <c r="CY47" s="319"/>
      <c r="CZ47" s="499">
        <v>1338.5</v>
      </c>
      <c r="DA47" s="319"/>
      <c r="DB47" s="499">
        <v>10492</v>
      </c>
      <c r="DC47" s="533"/>
    </row>
    <row r="48" spans="1:108" x14ac:dyDescent="0.25">
      <c r="A48" s="496"/>
      <c r="B48" s="496"/>
      <c r="C48" s="496"/>
      <c r="D48" s="496"/>
      <c r="E48" s="496" t="s">
        <v>193</v>
      </c>
      <c r="F48" s="496"/>
      <c r="G48" s="496"/>
      <c r="H48" s="499">
        <v>0</v>
      </c>
      <c r="I48" s="319"/>
      <c r="J48" s="499"/>
      <c r="K48" s="319"/>
      <c r="L48" s="499">
        <v>4640</v>
      </c>
      <c r="M48" s="319"/>
      <c r="N48" s="499">
        <v>3232</v>
      </c>
      <c r="O48" s="319"/>
      <c r="P48" s="499">
        <v>4640</v>
      </c>
      <c r="Q48" s="319"/>
      <c r="R48" s="499">
        <v>3232</v>
      </c>
      <c r="S48" s="319"/>
      <c r="T48" s="499">
        <v>0</v>
      </c>
      <c r="U48" s="319"/>
      <c r="V48" s="499"/>
      <c r="W48" s="319"/>
      <c r="X48" s="499">
        <v>0</v>
      </c>
      <c r="Y48" s="319"/>
      <c r="Z48" s="499"/>
      <c r="AA48" s="319"/>
      <c r="AB48" s="499">
        <v>0</v>
      </c>
      <c r="AC48" s="319"/>
      <c r="AD48" s="499"/>
      <c r="AE48" s="319"/>
      <c r="AF48" s="499">
        <v>0</v>
      </c>
      <c r="AG48" s="319"/>
      <c r="AH48" s="319"/>
      <c r="AI48" s="319"/>
      <c r="AJ48" s="499">
        <v>0</v>
      </c>
      <c r="AK48" s="319"/>
      <c r="AL48" s="499"/>
      <c r="AM48" s="319"/>
      <c r="AN48" s="499">
        <v>0</v>
      </c>
      <c r="AO48" s="319"/>
      <c r="AP48" s="499"/>
      <c r="AQ48" s="319"/>
      <c r="AR48" s="499">
        <v>0</v>
      </c>
      <c r="AS48" s="319"/>
      <c r="AT48" s="499"/>
      <c r="AU48" s="319"/>
      <c r="AV48" s="499">
        <v>0</v>
      </c>
      <c r="AW48" s="319"/>
      <c r="AX48" s="499"/>
      <c r="AY48" s="319"/>
      <c r="AZ48" s="499">
        <v>0</v>
      </c>
      <c r="BA48" s="319"/>
      <c r="BB48" s="499"/>
      <c r="BC48" s="319"/>
      <c r="BD48" s="499">
        <v>0</v>
      </c>
      <c r="BE48" s="319"/>
      <c r="BF48" s="319"/>
      <c r="BG48" s="319"/>
      <c r="BH48" s="499">
        <v>0</v>
      </c>
      <c r="BI48" s="319"/>
      <c r="BJ48" s="499"/>
      <c r="BK48" s="319"/>
      <c r="BL48" s="499">
        <v>0</v>
      </c>
      <c r="BM48" s="319"/>
      <c r="BN48" s="499"/>
      <c r="BO48" s="319"/>
      <c r="BP48" s="499">
        <v>0</v>
      </c>
      <c r="BQ48" s="319"/>
      <c r="BR48" s="499"/>
      <c r="BS48" s="319"/>
      <c r="BT48" s="499">
        <v>0</v>
      </c>
      <c r="BU48" s="319"/>
      <c r="BV48" s="499">
        <v>0</v>
      </c>
      <c r="BW48" s="319"/>
      <c r="BX48" s="499">
        <v>0</v>
      </c>
      <c r="BY48" s="319"/>
      <c r="BZ48" s="499">
        <v>0</v>
      </c>
      <c r="CA48" s="319"/>
      <c r="CB48" s="499">
        <v>0</v>
      </c>
      <c r="CC48" s="319"/>
      <c r="CD48" s="499">
        <v>0</v>
      </c>
      <c r="CE48" s="319"/>
      <c r="CF48" s="499">
        <v>0</v>
      </c>
      <c r="CG48" s="319"/>
      <c r="CH48" s="319"/>
      <c r="CI48" s="319"/>
      <c r="CJ48" s="499">
        <v>0</v>
      </c>
      <c r="CK48" s="319"/>
      <c r="CL48" s="319"/>
      <c r="CM48" s="319"/>
      <c r="CN48" s="499">
        <v>0</v>
      </c>
      <c r="CO48" s="319"/>
      <c r="CP48" s="319"/>
      <c r="CQ48" s="319"/>
      <c r="CR48" s="499">
        <v>0</v>
      </c>
      <c r="CS48" s="319"/>
      <c r="CT48" s="319"/>
      <c r="CU48" s="319"/>
      <c r="CV48" s="499">
        <v>0</v>
      </c>
      <c r="CW48" s="319"/>
      <c r="CX48" s="499">
        <v>0</v>
      </c>
      <c r="CY48" s="319"/>
      <c r="CZ48" s="499">
        <v>4640</v>
      </c>
      <c r="DA48" s="319"/>
      <c r="DB48" s="499">
        <v>3232</v>
      </c>
      <c r="DC48" s="533"/>
    </row>
    <row r="49" spans="1:107" x14ac:dyDescent="0.25">
      <c r="A49" s="496"/>
      <c r="B49" s="496"/>
      <c r="C49" s="496"/>
      <c r="D49" s="496"/>
      <c r="E49" s="496" t="s">
        <v>194</v>
      </c>
      <c r="F49" s="496"/>
      <c r="G49" s="496"/>
      <c r="H49" s="499">
        <v>67.069999999999993</v>
      </c>
      <c r="I49" s="319"/>
      <c r="J49" s="499">
        <v>249</v>
      </c>
      <c r="K49" s="319"/>
      <c r="L49" s="499">
        <v>265.91000000000003</v>
      </c>
      <c r="M49" s="319"/>
      <c r="N49" s="499">
        <v>1528</v>
      </c>
      <c r="O49" s="319"/>
      <c r="P49" s="499">
        <v>332.98</v>
      </c>
      <c r="Q49" s="319"/>
      <c r="R49" s="499">
        <v>1777</v>
      </c>
      <c r="S49" s="319"/>
      <c r="T49" s="499">
        <v>2602.37</v>
      </c>
      <c r="U49" s="319"/>
      <c r="V49" s="499">
        <v>996</v>
      </c>
      <c r="W49" s="319"/>
      <c r="X49" s="499">
        <v>13.41</v>
      </c>
      <c r="Y49" s="319"/>
      <c r="Z49" s="499">
        <v>50</v>
      </c>
      <c r="AA49" s="319"/>
      <c r="AB49" s="499">
        <v>26.83</v>
      </c>
      <c r="AC49" s="319"/>
      <c r="AD49" s="499"/>
      <c r="AE49" s="319"/>
      <c r="AF49" s="499">
        <v>0</v>
      </c>
      <c r="AG49" s="319"/>
      <c r="AH49" s="319"/>
      <c r="AI49" s="319"/>
      <c r="AJ49" s="499">
        <v>40.24</v>
      </c>
      <c r="AK49" s="319"/>
      <c r="AL49" s="499">
        <v>50</v>
      </c>
      <c r="AM49" s="319"/>
      <c r="AN49" s="499">
        <v>26.83</v>
      </c>
      <c r="AO49" s="319"/>
      <c r="AP49" s="499">
        <v>100</v>
      </c>
      <c r="AQ49" s="319"/>
      <c r="AR49" s="499">
        <v>80.44</v>
      </c>
      <c r="AS49" s="319"/>
      <c r="AT49" s="499">
        <v>299</v>
      </c>
      <c r="AU49" s="319"/>
      <c r="AV49" s="499">
        <v>26.83</v>
      </c>
      <c r="AW49" s="319"/>
      <c r="AX49" s="499">
        <v>250</v>
      </c>
      <c r="AY49" s="319"/>
      <c r="AZ49" s="499">
        <v>402.29</v>
      </c>
      <c r="BA49" s="319"/>
      <c r="BB49" s="499">
        <v>1494</v>
      </c>
      <c r="BC49" s="319"/>
      <c r="BD49" s="499">
        <v>0</v>
      </c>
      <c r="BE49" s="319"/>
      <c r="BF49" s="319"/>
      <c r="BG49" s="319"/>
      <c r="BH49" s="499">
        <v>429.12</v>
      </c>
      <c r="BI49" s="319"/>
      <c r="BJ49" s="499">
        <v>1744</v>
      </c>
      <c r="BK49" s="319"/>
      <c r="BL49" s="499">
        <v>607.28</v>
      </c>
      <c r="BM49" s="319"/>
      <c r="BN49" s="499">
        <v>398</v>
      </c>
      <c r="BO49" s="319"/>
      <c r="BP49" s="499">
        <v>611.44000000000005</v>
      </c>
      <c r="BQ49" s="319"/>
      <c r="BR49" s="499">
        <v>1992</v>
      </c>
      <c r="BS49" s="319"/>
      <c r="BT49" s="499">
        <v>2900.05</v>
      </c>
      <c r="BU49" s="319"/>
      <c r="BV49" s="499">
        <v>6681</v>
      </c>
      <c r="BW49" s="319"/>
      <c r="BX49" s="499">
        <v>4118.7700000000004</v>
      </c>
      <c r="BY49" s="319"/>
      <c r="BZ49" s="499">
        <v>9071</v>
      </c>
      <c r="CA49" s="319"/>
      <c r="CB49" s="499">
        <v>4695.3999999999996</v>
      </c>
      <c r="CC49" s="319"/>
      <c r="CD49" s="499">
        <v>11264</v>
      </c>
      <c r="CE49" s="319"/>
      <c r="CF49" s="499">
        <v>0</v>
      </c>
      <c r="CG49" s="319"/>
      <c r="CH49" s="319"/>
      <c r="CI49" s="319"/>
      <c r="CJ49" s="499">
        <v>0</v>
      </c>
      <c r="CK49" s="319"/>
      <c r="CL49" s="319"/>
      <c r="CM49" s="319"/>
      <c r="CN49" s="499">
        <v>0</v>
      </c>
      <c r="CO49" s="319"/>
      <c r="CP49" s="319"/>
      <c r="CQ49" s="319"/>
      <c r="CR49" s="499">
        <v>0</v>
      </c>
      <c r="CS49" s="319"/>
      <c r="CT49" s="319"/>
      <c r="CU49" s="319"/>
      <c r="CV49" s="499">
        <v>0</v>
      </c>
      <c r="CW49" s="319"/>
      <c r="CX49" s="499">
        <v>0</v>
      </c>
      <c r="CY49" s="319"/>
      <c r="CZ49" s="499">
        <v>7630.75</v>
      </c>
      <c r="DA49" s="319"/>
      <c r="DB49" s="499">
        <v>14037</v>
      </c>
      <c r="DC49" s="533"/>
    </row>
    <row r="50" spans="1:107" ht="15.75" thickBot="1" x14ac:dyDescent="0.3">
      <c r="A50" s="496"/>
      <c r="B50" s="496"/>
      <c r="C50" s="496"/>
      <c r="D50" s="496"/>
      <c r="E50" s="496" t="s">
        <v>195</v>
      </c>
      <c r="F50" s="496"/>
      <c r="G50" s="496"/>
      <c r="H50" s="497">
        <v>1675.05</v>
      </c>
      <c r="I50" s="319"/>
      <c r="J50" s="497">
        <v>382</v>
      </c>
      <c r="K50" s="319"/>
      <c r="L50" s="497">
        <v>14964.1</v>
      </c>
      <c r="M50" s="319"/>
      <c r="N50" s="497">
        <v>916</v>
      </c>
      <c r="O50" s="319"/>
      <c r="P50" s="497">
        <v>16639.150000000001</v>
      </c>
      <c r="Q50" s="319"/>
      <c r="R50" s="497">
        <v>1298</v>
      </c>
      <c r="S50" s="319"/>
      <c r="T50" s="497">
        <v>5235.76</v>
      </c>
      <c r="U50" s="319"/>
      <c r="V50" s="497">
        <v>3327</v>
      </c>
      <c r="W50" s="319"/>
      <c r="X50" s="497">
        <v>24.97</v>
      </c>
      <c r="Y50" s="319"/>
      <c r="Z50" s="497">
        <v>76</v>
      </c>
      <c r="AA50" s="319"/>
      <c r="AB50" s="497">
        <v>1604.62</v>
      </c>
      <c r="AC50" s="319"/>
      <c r="AD50" s="497">
        <v>153</v>
      </c>
      <c r="AE50" s="319"/>
      <c r="AF50" s="497">
        <v>0</v>
      </c>
      <c r="AG50" s="319"/>
      <c r="AH50" s="319"/>
      <c r="AI50" s="319"/>
      <c r="AJ50" s="497">
        <v>1629.59</v>
      </c>
      <c r="AK50" s="319"/>
      <c r="AL50" s="497">
        <v>229</v>
      </c>
      <c r="AM50" s="319"/>
      <c r="AN50" s="497">
        <v>49.91</v>
      </c>
      <c r="AO50" s="319"/>
      <c r="AP50" s="497">
        <v>153</v>
      </c>
      <c r="AQ50" s="319"/>
      <c r="AR50" s="497">
        <v>182.51</v>
      </c>
      <c r="AS50" s="319"/>
      <c r="AT50" s="497">
        <v>458</v>
      </c>
      <c r="AU50" s="319"/>
      <c r="AV50" s="497">
        <v>143.72</v>
      </c>
      <c r="AW50" s="319"/>
      <c r="AX50" s="497">
        <v>2453</v>
      </c>
      <c r="AY50" s="319"/>
      <c r="AZ50" s="497">
        <v>12691.39</v>
      </c>
      <c r="BA50" s="319"/>
      <c r="BB50" s="497">
        <v>17290</v>
      </c>
      <c r="BC50" s="319"/>
      <c r="BD50" s="497">
        <v>0</v>
      </c>
      <c r="BE50" s="319"/>
      <c r="BF50" s="319"/>
      <c r="BG50" s="319"/>
      <c r="BH50" s="497">
        <v>12835.11</v>
      </c>
      <c r="BI50" s="319"/>
      <c r="BJ50" s="497">
        <v>19743</v>
      </c>
      <c r="BK50" s="319"/>
      <c r="BL50" s="497">
        <v>3291.24</v>
      </c>
      <c r="BM50" s="319"/>
      <c r="BN50" s="497">
        <v>611</v>
      </c>
      <c r="BO50" s="319"/>
      <c r="BP50" s="497">
        <v>911.1</v>
      </c>
      <c r="BQ50" s="319"/>
      <c r="BR50" s="497">
        <v>3053</v>
      </c>
      <c r="BS50" s="319"/>
      <c r="BT50" s="497">
        <v>2178.46</v>
      </c>
      <c r="BU50" s="319"/>
      <c r="BV50" s="497">
        <v>2290</v>
      </c>
      <c r="BW50" s="319"/>
      <c r="BX50" s="497">
        <v>6380.8</v>
      </c>
      <c r="BY50" s="319"/>
      <c r="BZ50" s="497">
        <v>5954</v>
      </c>
      <c r="CA50" s="319"/>
      <c r="CB50" s="497">
        <v>21077.919999999998</v>
      </c>
      <c r="CC50" s="319"/>
      <c r="CD50" s="497">
        <v>26537</v>
      </c>
      <c r="CE50" s="319"/>
      <c r="CF50" s="497">
        <v>0</v>
      </c>
      <c r="CG50" s="319"/>
      <c r="CH50" s="319"/>
      <c r="CI50" s="319"/>
      <c r="CJ50" s="497">
        <v>0</v>
      </c>
      <c r="CK50" s="319"/>
      <c r="CL50" s="319"/>
      <c r="CM50" s="319"/>
      <c r="CN50" s="497">
        <v>0</v>
      </c>
      <c r="CO50" s="319"/>
      <c r="CP50" s="319"/>
      <c r="CQ50" s="319"/>
      <c r="CR50" s="497">
        <v>0</v>
      </c>
      <c r="CS50" s="319"/>
      <c r="CT50" s="319"/>
      <c r="CU50" s="319"/>
      <c r="CV50" s="497">
        <v>0</v>
      </c>
      <c r="CW50" s="319"/>
      <c r="CX50" s="497">
        <v>0</v>
      </c>
      <c r="CY50" s="319"/>
      <c r="CZ50" s="497">
        <v>42952.83</v>
      </c>
      <c r="DA50" s="319"/>
      <c r="DB50" s="497">
        <v>31162</v>
      </c>
      <c r="DC50" s="533"/>
    </row>
    <row r="51" spans="1:107" ht="15.75" thickBot="1" x14ac:dyDescent="0.3">
      <c r="A51" s="496"/>
      <c r="B51" s="496"/>
      <c r="C51" s="496"/>
      <c r="D51" s="496" t="s">
        <v>116</v>
      </c>
      <c r="E51" s="496"/>
      <c r="F51" s="496"/>
      <c r="G51" s="496"/>
      <c r="H51" s="322">
        <v>10159.9</v>
      </c>
      <c r="I51" s="319"/>
      <c r="J51" s="322">
        <v>29385</v>
      </c>
      <c r="K51" s="319"/>
      <c r="L51" s="322">
        <v>37683.449999999997</v>
      </c>
      <c r="M51" s="319"/>
      <c r="N51" s="322">
        <v>68612</v>
      </c>
      <c r="O51" s="319"/>
      <c r="P51" s="322">
        <v>47843.35</v>
      </c>
      <c r="Q51" s="319"/>
      <c r="R51" s="322">
        <v>97997</v>
      </c>
      <c r="S51" s="319"/>
      <c r="T51" s="322">
        <v>24126.91</v>
      </c>
      <c r="U51" s="319"/>
      <c r="V51" s="322">
        <v>69424</v>
      </c>
      <c r="W51" s="319"/>
      <c r="X51" s="322">
        <v>1391.78</v>
      </c>
      <c r="Y51" s="319"/>
      <c r="Z51" s="322">
        <v>3388</v>
      </c>
      <c r="AA51" s="319"/>
      <c r="AB51" s="322">
        <v>2476.27</v>
      </c>
      <c r="AC51" s="319"/>
      <c r="AD51" s="322">
        <v>12481</v>
      </c>
      <c r="AE51" s="319"/>
      <c r="AF51" s="322">
        <v>0</v>
      </c>
      <c r="AG51" s="319"/>
      <c r="AH51" s="319"/>
      <c r="AI51" s="319"/>
      <c r="AJ51" s="322">
        <v>3868.05</v>
      </c>
      <c r="AK51" s="319"/>
      <c r="AL51" s="322">
        <v>15869</v>
      </c>
      <c r="AM51" s="319"/>
      <c r="AN51" s="322">
        <v>1564.85</v>
      </c>
      <c r="AO51" s="319"/>
      <c r="AP51" s="322">
        <v>3828</v>
      </c>
      <c r="AQ51" s="319"/>
      <c r="AR51" s="322">
        <v>6857.47</v>
      </c>
      <c r="AS51" s="319"/>
      <c r="AT51" s="322">
        <v>12916</v>
      </c>
      <c r="AU51" s="319"/>
      <c r="AV51" s="322">
        <v>1510.11</v>
      </c>
      <c r="AW51" s="319"/>
      <c r="AX51" s="322">
        <v>6822</v>
      </c>
      <c r="AY51" s="319"/>
      <c r="AZ51" s="322">
        <v>35009.839999999997</v>
      </c>
      <c r="BA51" s="319"/>
      <c r="BB51" s="322">
        <v>76532</v>
      </c>
      <c r="BC51" s="319"/>
      <c r="BD51" s="322">
        <v>0</v>
      </c>
      <c r="BE51" s="319"/>
      <c r="BF51" s="319"/>
      <c r="BG51" s="319"/>
      <c r="BH51" s="322">
        <v>36519.949999999997</v>
      </c>
      <c r="BI51" s="319"/>
      <c r="BJ51" s="322">
        <v>83354</v>
      </c>
      <c r="BK51" s="319"/>
      <c r="BL51" s="322">
        <v>9871.2199999999993</v>
      </c>
      <c r="BM51" s="319"/>
      <c r="BN51" s="322">
        <v>21896</v>
      </c>
      <c r="BO51" s="319"/>
      <c r="BP51" s="322">
        <v>14097.17</v>
      </c>
      <c r="BQ51" s="319"/>
      <c r="BR51" s="322">
        <v>57644</v>
      </c>
      <c r="BS51" s="319"/>
      <c r="BT51" s="322">
        <v>40997.050000000003</v>
      </c>
      <c r="BU51" s="319"/>
      <c r="BV51" s="322">
        <v>97039</v>
      </c>
      <c r="BW51" s="319"/>
      <c r="BX51" s="322">
        <v>64965.440000000002</v>
      </c>
      <c r="BY51" s="319"/>
      <c r="BZ51" s="322">
        <v>176579</v>
      </c>
      <c r="CA51" s="319"/>
      <c r="CB51" s="322">
        <v>113775.76</v>
      </c>
      <c r="CC51" s="319"/>
      <c r="CD51" s="322">
        <v>292546</v>
      </c>
      <c r="CE51" s="319"/>
      <c r="CF51" s="322">
        <v>0</v>
      </c>
      <c r="CG51" s="319"/>
      <c r="CH51" s="319"/>
      <c r="CI51" s="319"/>
      <c r="CJ51" s="322">
        <v>0.09</v>
      </c>
      <c r="CK51" s="319"/>
      <c r="CL51" s="319"/>
      <c r="CM51" s="319"/>
      <c r="CN51" s="322">
        <v>0</v>
      </c>
      <c r="CO51" s="319"/>
      <c r="CP51" s="319"/>
      <c r="CQ51" s="319"/>
      <c r="CR51" s="322">
        <v>0.09</v>
      </c>
      <c r="CS51" s="319"/>
      <c r="CT51" s="319"/>
      <c r="CU51" s="319"/>
      <c r="CV51" s="322">
        <v>-0.08</v>
      </c>
      <c r="CW51" s="319"/>
      <c r="CX51" s="322">
        <v>0</v>
      </c>
      <c r="CY51" s="319"/>
      <c r="CZ51" s="322">
        <v>185746.03</v>
      </c>
      <c r="DA51" s="319"/>
      <c r="DB51" s="322">
        <v>459967</v>
      </c>
      <c r="DC51" s="533"/>
    </row>
    <row r="52" spans="1:107" ht="15.75" thickBot="1" x14ac:dyDescent="0.3">
      <c r="A52" s="496"/>
      <c r="B52" s="496" t="s">
        <v>196</v>
      </c>
      <c r="C52" s="496"/>
      <c r="D52" s="496"/>
      <c r="E52" s="496"/>
      <c r="F52" s="496"/>
      <c r="G52" s="496"/>
      <c r="H52" s="322">
        <v>-10013</v>
      </c>
      <c r="I52" s="319"/>
      <c r="J52" s="322">
        <v>-29385</v>
      </c>
      <c r="K52" s="319"/>
      <c r="L52" s="322">
        <v>79591.240000000005</v>
      </c>
      <c r="M52" s="319"/>
      <c r="N52" s="322">
        <v>129242</v>
      </c>
      <c r="O52" s="319"/>
      <c r="P52" s="322">
        <v>69578.240000000005</v>
      </c>
      <c r="Q52" s="319"/>
      <c r="R52" s="322">
        <v>99857</v>
      </c>
      <c r="S52" s="319"/>
      <c r="T52" s="322">
        <v>13043.67</v>
      </c>
      <c r="U52" s="319"/>
      <c r="V52" s="322">
        <v>23576</v>
      </c>
      <c r="W52" s="319"/>
      <c r="X52" s="322">
        <v>-1391.78</v>
      </c>
      <c r="Y52" s="319"/>
      <c r="Z52" s="322">
        <v>-3388</v>
      </c>
      <c r="AA52" s="319"/>
      <c r="AB52" s="322">
        <v>-2476.27</v>
      </c>
      <c r="AC52" s="319"/>
      <c r="AD52" s="322">
        <v>-12481</v>
      </c>
      <c r="AE52" s="319"/>
      <c r="AF52" s="322">
        <v>0</v>
      </c>
      <c r="AG52" s="319"/>
      <c r="AH52" s="319"/>
      <c r="AI52" s="319"/>
      <c r="AJ52" s="322">
        <v>-3868.05</v>
      </c>
      <c r="AK52" s="319"/>
      <c r="AL52" s="322">
        <v>-15869</v>
      </c>
      <c r="AM52" s="319"/>
      <c r="AN52" s="322">
        <v>-1564.85</v>
      </c>
      <c r="AO52" s="319"/>
      <c r="AP52" s="322">
        <v>-3828</v>
      </c>
      <c r="AQ52" s="319"/>
      <c r="AR52" s="322">
        <v>-6696.37</v>
      </c>
      <c r="AS52" s="319"/>
      <c r="AT52" s="322">
        <v>-12916</v>
      </c>
      <c r="AU52" s="319"/>
      <c r="AV52" s="322">
        <v>15083.61</v>
      </c>
      <c r="AW52" s="319"/>
      <c r="AX52" s="322">
        <v>18178</v>
      </c>
      <c r="AY52" s="319"/>
      <c r="AZ52" s="322">
        <v>44030.16</v>
      </c>
      <c r="BA52" s="319"/>
      <c r="BB52" s="322">
        <v>39718</v>
      </c>
      <c r="BC52" s="319"/>
      <c r="BD52" s="322">
        <v>0</v>
      </c>
      <c r="BE52" s="319"/>
      <c r="BF52" s="319"/>
      <c r="BG52" s="319"/>
      <c r="BH52" s="322">
        <v>59113.77</v>
      </c>
      <c r="BI52" s="319"/>
      <c r="BJ52" s="322">
        <v>57896</v>
      </c>
      <c r="BK52" s="319"/>
      <c r="BL52" s="322">
        <v>-3166.22</v>
      </c>
      <c r="BM52" s="319"/>
      <c r="BN52" s="322">
        <v>-21896</v>
      </c>
      <c r="BO52" s="319"/>
      <c r="BP52" s="322">
        <v>-13907.17</v>
      </c>
      <c r="BQ52" s="319"/>
      <c r="BR52" s="322">
        <v>-32644</v>
      </c>
      <c r="BS52" s="319"/>
      <c r="BT52" s="322">
        <v>-40132.050000000003</v>
      </c>
      <c r="BU52" s="319"/>
      <c r="BV52" s="322">
        <v>-89539</v>
      </c>
      <c r="BW52" s="319"/>
      <c r="BX52" s="322">
        <v>-57205.440000000002</v>
      </c>
      <c r="BY52" s="319"/>
      <c r="BZ52" s="322">
        <v>-144079</v>
      </c>
      <c r="CA52" s="319"/>
      <c r="CB52" s="322">
        <v>-10220.94</v>
      </c>
      <c r="CC52" s="319"/>
      <c r="CD52" s="322">
        <v>-118796</v>
      </c>
      <c r="CE52" s="319"/>
      <c r="CF52" s="322">
        <v>0</v>
      </c>
      <c r="CG52" s="319"/>
      <c r="CH52" s="319"/>
      <c r="CI52" s="319"/>
      <c r="CJ52" s="322">
        <v>-0.09</v>
      </c>
      <c r="CK52" s="319"/>
      <c r="CL52" s="319"/>
      <c r="CM52" s="319"/>
      <c r="CN52" s="322">
        <v>0</v>
      </c>
      <c r="CO52" s="319"/>
      <c r="CP52" s="319"/>
      <c r="CQ52" s="319"/>
      <c r="CR52" s="322">
        <v>-0.09</v>
      </c>
      <c r="CS52" s="319"/>
      <c r="CT52" s="319"/>
      <c r="CU52" s="319"/>
      <c r="CV52" s="322">
        <v>0.08</v>
      </c>
      <c r="CW52" s="319"/>
      <c r="CX52" s="322">
        <v>0</v>
      </c>
      <c r="CY52" s="319"/>
      <c r="CZ52" s="322">
        <v>72400.960000000006</v>
      </c>
      <c r="DA52" s="319"/>
      <c r="DB52" s="322">
        <v>5037</v>
      </c>
    </row>
    <row r="53" spans="1:107" ht="15.75" thickBot="1" x14ac:dyDescent="0.3">
      <c r="A53" s="496" t="s">
        <v>197</v>
      </c>
      <c r="B53" s="496"/>
      <c r="C53" s="496"/>
      <c r="D53" s="496"/>
      <c r="E53" s="496"/>
      <c r="F53" s="496"/>
      <c r="G53" s="496"/>
      <c r="H53" s="323">
        <v>-10013</v>
      </c>
      <c r="I53" s="531"/>
      <c r="J53" s="323">
        <v>-29385</v>
      </c>
      <c r="K53" s="531"/>
      <c r="L53" s="323">
        <v>79591.240000000005</v>
      </c>
      <c r="M53" s="531"/>
      <c r="N53" s="323">
        <v>129242</v>
      </c>
      <c r="O53" s="531"/>
      <c r="P53" s="323">
        <v>69578.240000000005</v>
      </c>
      <c r="Q53" s="531"/>
      <c r="R53" s="323">
        <v>99857</v>
      </c>
      <c r="S53" s="531"/>
      <c r="T53" s="323">
        <v>13043.67</v>
      </c>
      <c r="U53" s="531"/>
      <c r="V53" s="323">
        <v>23576</v>
      </c>
      <c r="W53" s="531"/>
      <c r="X53" s="323">
        <v>-1391.78</v>
      </c>
      <c r="Y53" s="531"/>
      <c r="Z53" s="323">
        <v>-3388</v>
      </c>
      <c r="AA53" s="531"/>
      <c r="AB53" s="323">
        <v>-2476.27</v>
      </c>
      <c r="AC53" s="531"/>
      <c r="AD53" s="323">
        <v>-12481</v>
      </c>
      <c r="AE53" s="531"/>
      <c r="AF53" s="323">
        <v>0</v>
      </c>
      <c r="AG53" s="531"/>
      <c r="AH53" s="531"/>
      <c r="AI53" s="531"/>
      <c r="AJ53" s="323">
        <v>-3868.05</v>
      </c>
      <c r="AK53" s="531"/>
      <c r="AL53" s="323">
        <v>-15869</v>
      </c>
      <c r="AM53" s="531"/>
      <c r="AN53" s="323">
        <v>-1564.85</v>
      </c>
      <c r="AO53" s="531"/>
      <c r="AP53" s="323">
        <v>-3828</v>
      </c>
      <c r="AQ53" s="531"/>
      <c r="AR53" s="323">
        <v>-6696.37</v>
      </c>
      <c r="AS53" s="531"/>
      <c r="AT53" s="323">
        <v>-12916</v>
      </c>
      <c r="AU53" s="531"/>
      <c r="AV53" s="323">
        <v>15083.61</v>
      </c>
      <c r="AW53" s="531"/>
      <c r="AX53" s="323">
        <v>18178</v>
      </c>
      <c r="AY53" s="531"/>
      <c r="AZ53" s="323">
        <v>44030.16</v>
      </c>
      <c r="BA53" s="531"/>
      <c r="BB53" s="323">
        <v>39718</v>
      </c>
      <c r="BC53" s="531"/>
      <c r="BD53" s="323">
        <v>0</v>
      </c>
      <c r="BE53" s="531"/>
      <c r="BF53" s="531"/>
      <c r="BG53" s="531"/>
      <c r="BH53" s="323">
        <v>59113.77</v>
      </c>
      <c r="BI53" s="531"/>
      <c r="BJ53" s="323">
        <v>57896</v>
      </c>
      <c r="BK53" s="531"/>
      <c r="BL53" s="323">
        <v>-3166.22</v>
      </c>
      <c r="BM53" s="531"/>
      <c r="BN53" s="323">
        <v>-21896</v>
      </c>
      <c r="BO53" s="531"/>
      <c r="BP53" s="323">
        <v>-13907.17</v>
      </c>
      <c r="BQ53" s="531"/>
      <c r="BR53" s="323">
        <v>-32644</v>
      </c>
      <c r="BS53" s="531"/>
      <c r="BT53" s="323">
        <v>-40132.050000000003</v>
      </c>
      <c r="BU53" s="531"/>
      <c r="BV53" s="323">
        <v>-89539</v>
      </c>
      <c r="BW53" s="531"/>
      <c r="BX53" s="323">
        <v>-57205.440000000002</v>
      </c>
      <c r="BY53" s="531"/>
      <c r="BZ53" s="323">
        <v>-144079</v>
      </c>
      <c r="CA53" s="531"/>
      <c r="CB53" s="323">
        <v>-10220.94</v>
      </c>
      <c r="CC53" s="531"/>
      <c r="CD53" s="323">
        <v>-118796</v>
      </c>
      <c r="CE53" s="531"/>
      <c r="CF53" s="323">
        <v>0</v>
      </c>
      <c r="CG53" s="531"/>
      <c r="CH53" s="531"/>
      <c r="CI53" s="531"/>
      <c r="CJ53" s="323">
        <v>-0.09</v>
      </c>
      <c r="CK53" s="531"/>
      <c r="CL53" s="531"/>
      <c r="CM53" s="531"/>
      <c r="CN53" s="323">
        <v>0</v>
      </c>
      <c r="CO53" s="531"/>
      <c r="CP53" s="531"/>
      <c r="CQ53" s="531"/>
      <c r="CR53" s="323">
        <v>-0.09</v>
      </c>
      <c r="CS53" s="531"/>
      <c r="CT53" s="531"/>
      <c r="CU53" s="531"/>
      <c r="CV53" s="323">
        <v>0.08</v>
      </c>
      <c r="CW53" s="531"/>
      <c r="CX53" s="323">
        <v>0</v>
      </c>
      <c r="CY53" s="531"/>
      <c r="CZ53" s="323">
        <v>72400.960000000006</v>
      </c>
      <c r="DA53" s="496"/>
      <c r="DB53" s="323">
        <v>5037</v>
      </c>
    </row>
    <row r="54" spans="1:107" ht="15.75" thickTop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</row>
    <row r="55" spans="1:10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</row>
    <row r="56" spans="1:107" x14ac:dyDescent="0.25">
      <c r="A56" s="3"/>
      <c r="B56" s="3"/>
      <c r="C56" s="3"/>
      <c r="D56" s="3"/>
      <c r="E56" s="3"/>
      <c r="F56" s="3"/>
      <c r="G56" s="3"/>
      <c r="H56" s="532">
        <f>SUM(H37:H48)-H45</f>
        <v>1366.13</v>
      </c>
      <c r="I56" s="3"/>
      <c r="J56" s="3"/>
      <c r="K56" s="3"/>
      <c r="L56" s="532">
        <f>SUM(L37:L48)-L45</f>
        <v>7157.25</v>
      </c>
      <c r="M56" s="3"/>
      <c r="N56" s="3"/>
      <c r="O56" s="3"/>
      <c r="P56" s="532">
        <f>SUM(P37:P48)-P45</f>
        <v>8523.3800000000028</v>
      </c>
      <c r="Q56" s="3"/>
      <c r="R56" s="3"/>
      <c r="S56" s="3"/>
      <c r="T56" s="532">
        <f>SUM(T37:T48)-T45</f>
        <v>2965.53</v>
      </c>
      <c r="U56" s="3"/>
      <c r="V56" s="3"/>
      <c r="W56" s="3"/>
      <c r="X56" s="532"/>
      <c r="Y56" s="3"/>
      <c r="Z56" s="3"/>
      <c r="AA56" s="3"/>
      <c r="AB56" s="532"/>
      <c r="AC56" s="3"/>
      <c r="AD56" s="3"/>
      <c r="AE56" s="3"/>
      <c r="AF56" s="3"/>
      <c r="AG56" s="3"/>
      <c r="AH56" s="3"/>
      <c r="AI56" s="3"/>
      <c r="AJ56" s="532">
        <f>SUM(AJ37:AJ48)-AJ45</f>
        <v>311</v>
      </c>
      <c r="AK56" s="3"/>
      <c r="AL56" s="3"/>
      <c r="AM56" s="3"/>
      <c r="AN56" s="532">
        <f>SUM(AN37:AN48)-AN45</f>
        <v>170.99</v>
      </c>
      <c r="AO56" s="3"/>
      <c r="AP56" s="3"/>
      <c r="AQ56" s="3"/>
      <c r="AR56" s="532">
        <f>SUM(AR37:AR48)-AR45</f>
        <v>566.81000000000017</v>
      </c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532">
        <f>SUM(BH37:BH48)-BH45</f>
        <v>3189.3</v>
      </c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532">
        <f>SUM(BX37:BX48)-BX45</f>
        <v>7399.3299999999981</v>
      </c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</row>
    <row r="57" spans="1:10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532">
        <f>+P51</f>
        <v>47843.35</v>
      </c>
      <c r="Q57" s="3"/>
      <c r="R57" s="3"/>
      <c r="S57" s="3"/>
      <c r="T57" s="532">
        <f>+T51</f>
        <v>24126.91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532">
        <f>+CB51</f>
        <v>113775.76</v>
      </c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</row>
    <row r="58" spans="1:10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</row>
    <row r="59" spans="1:10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</row>
    <row r="60" spans="1:107" s="507" customFormat="1" ht="11.25" x14ac:dyDescent="0.2"/>
    <row r="61" spans="1:10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</row>
    <row r="62" spans="1:10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</row>
    <row r="63" spans="1:10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</row>
    <row r="64" spans="1:10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</row>
    <row r="65" spans="1:10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</row>
    <row r="66" spans="1:10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</row>
    <row r="67" spans="1:10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</row>
    <row r="68" spans="1:10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</row>
    <row r="69" spans="1:10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</row>
    <row r="70" spans="1:10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</row>
    <row r="71" spans="1:10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</row>
    <row r="72" spans="1:10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</row>
    <row r="73" spans="1:10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</row>
    <row r="74" spans="1:10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</row>
    <row r="75" spans="1:10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</row>
    <row r="76" spans="1:10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</row>
    <row r="77" spans="1:10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</row>
    <row r="78" spans="1:10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</row>
    <row r="79" spans="1:10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</row>
    <row r="80" spans="1:10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</row>
    <row r="81" spans="1:10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</row>
    <row r="82" spans="1:10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</row>
    <row r="83" spans="1:10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</row>
    <row r="84" spans="1:10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</row>
    <row r="85" spans="1:10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</row>
    <row r="86" spans="1:10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</row>
    <row r="87" spans="1:10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</row>
    <row r="88" spans="1:10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</row>
    <row r="89" spans="1:10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</row>
    <row r="90" spans="1:10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</row>
    <row r="91" spans="1:10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</row>
    <row r="92" spans="1:10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</row>
    <row r="93" spans="1:10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</row>
    <row r="94" spans="1:10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</row>
    <row r="95" spans="1:10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</row>
    <row r="96" spans="1:10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</row>
    <row r="97" spans="1:10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</row>
    <row r="98" spans="1:10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</row>
    <row r="99" spans="1:10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</row>
    <row r="100" spans="1:10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</row>
    <row r="101" spans="1:10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</row>
    <row r="102" spans="1:10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</row>
    <row r="103" spans="1:10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</row>
    <row r="104" spans="1:10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</row>
    <row r="105" spans="1:10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</row>
    <row r="106" spans="1:10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</row>
    <row r="107" spans="1:10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</row>
    <row r="108" spans="1:10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</row>
    <row r="109" spans="1:10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</row>
    <row r="110" spans="1:10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</row>
    <row r="111" spans="1:10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</row>
    <row r="112" spans="1:10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</row>
    <row r="113" spans="1:10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</row>
    <row r="114" spans="1:10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</row>
    <row r="115" spans="1:10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</row>
    <row r="116" spans="1:10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</row>
    <row r="117" spans="1:10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</row>
    <row r="118" spans="1:10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</row>
    <row r="119" spans="1:10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</row>
    <row r="120" spans="1:10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</row>
    <row r="121" spans="1:10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</row>
    <row r="122" spans="1:10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</row>
    <row r="123" spans="1:10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</row>
    <row r="124" spans="1:10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</row>
    <row r="125" spans="1:10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</row>
    <row r="126" spans="1:10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</row>
    <row r="127" spans="1:10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</row>
    <row r="128" spans="1:10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</row>
    <row r="129" spans="1:10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</row>
    <row r="130" spans="1:10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</row>
    <row r="131" spans="1:10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</row>
    <row r="132" spans="1:10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</row>
    <row r="133" spans="1:10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</row>
    <row r="134" spans="1:10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</row>
    <row r="135" spans="1:10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</row>
    <row r="136" spans="1:10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</row>
    <row r="137" spans="1:10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</row>
    <row r="138" spans="1:10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</row>
    <row r="139" spans="1:10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</row>
    <row r="140" spans="1:10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</row>
    <row r="141" spans="1:10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</row>
    <row r="142" spans="1:10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</row>
  </sheetData>
  <pageMargins left="0.2" right="0.2" top="0.75" bottom="0.5" header="0.1" footer="0.3"/>
  <pageSetup scale="90" orientation="portrait" r:id="rId1"/>
  <headerFooter>
    <oddHeader>&amp;L&amp;"Arial,Bold"&amp;8 4:15 PM
 10/01/18
 Accrual Basis&amp;C&amp;"Arial,Bold"&amp;12 League of Women Voters of California
&amp;14 Statement of Activities Budget vs. Actual
&amp;10 July through August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285750</xdr:colOff>
                <xdr:row>1</xdr:row>
                <xdr:rowOff>38100</xdr:rowOff>
              </to>
            </anchor>
          </controlPr>
        </control>
      </mc:Choice>
      <mc:Fallback>
        <control shapeId="6145" r:id="rId4" name="FILTER"/>
      </mc:Fallback>
    </mc:AlternateContent>
    <mc:AlternateContent xmlns:mc="http://schemas.openxmlformats.org/markup-compatibility/2006">
      <mc:Choice Requires="x14">
        <control shapeId="614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285750</xdr:colOff>
                <xdr:row>1</xdr:row>
                <xdr:rowOff>38100</xdr:rowOff>
              </to>
            </anchor>
          </controlPr>
        </control>
      </mc:Choice>
      <mc:Fallback>
        <control shapeId="614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F78"/>
  <sheetViews>
    <sheetView workbookViewId="0">
      <pane xSplit="7" ySplit="1" topLeftCell="H47" activePane="bottomRight" state="frozenSplit"/>
      <selection pane="topRight" activeCell="H1" sqref="H1"/>
      <selection pane="bottomLeft" activeCell="A2" sqref="A2"/>
      <selection pane="bottomRight" activeCell="H1" sqref="H1:AF58"/>
    </sheetView>
  </sheetViews>
  <sheetFormatPr defaultRowHeight="15" x14ac:dyDescent="0.25"/>
  <cols>
    <col min="1" max="6" width="3" style="325" customWidth="1"/>
    <col min="7" max="7" width="27" style="325" customWidth="1"/>
    <col min="8" max="8" width="11.5703125" style="326" bestFit="1" customWidth="1"/>
    <col min="9" max="9" width="2.28515625" style="326" customWidth="1"/>
    <col min="10" max="10" width="11.5703125" style="326" bestFit="1" customWidth="1"/>
    <col min="11" max="11" width="2.28515625" style="326" customWidth="1"/>
    <col min="12" max="12" width="12" style="326" customWidth="1"/>
    <col min="13" max="13" width="2.28515625" style="326" customWidth="1"/>
    <col min="14" max="14" width="10.28515625" style="326" customWidth="1"/>
    <col min="15" max="15" width="2.28515625" style="326" customWidth="1"/>
    <col min="16" max="16" width="12.28515625" style="326" bestFit="1" customWidth="1"/>
    <col min="17" max="17" width="2.28515625" style="326" customWidth="1"/>
    <col min="18" max="18" width="11.5703125" style="326" bestFit="1" customWidth="1"/>
    <col min="19" max="19" width="2.28515625" style="326" customWidth="1"/>
    <col min="20" max="20" width="11.5703125" style="326" bestFit="1" customWidth="1"/>
    <col min="21" max="21" width="2.28515625" style="326" customWidth="1"/>
    <col min="22" max="22" width="12.28515625" style="326" bestFit="1" customWidth="1"/>
    <col min="23" max="23" width="2.28515625" style="326" customWidth="1"/>
    <col min="24" max="24" width="12" style="326" customWidth="1"/>
    <col min="25" max="25" width="2.28515625" style="326" customWidth="1"/>
    <col min="26" max="26" width="12.7109375" style="326" customWidth="1"/>
    <col min="27" max="27" width="2.28515625" style="326" customWidth="1"/>
    <col min="28" max="28" width="12" style="326" customWidth="1"/>
    <col min="29" max="29" width="2.28515625" style="326" customWidth="1"/>
    <col min="30" max="30" width="12.85546875" style="326" customWidth="1"/>
    <col min="31" max="31" width="2.28515625" style="326" customWidth="1"/>
    <col min="32" max="32" width="12.28515625" style="326" bestFit="1" customWidth="1"/>
  </cols>
  <sheetData>
    <row r="1" spans="1:32" s="411" customFormat="1" ht="15.75" thickBot="1" x14ac:dyDescent="0.3">
      <c r="A1" s="315"/>
      <c r="B1" s="315"/>
      <c r="C1" s="315"/>
      <c r="D1" s="315"/>
      <c r="E1" s="315"/>
      <c r="F1" s="315"/>
      <c r="G1" s="315"/>
      <c r="H1" s="355" t="s">
        <v>399</v>
      </c>
      <c r="I1" s="317"/>
      <c r="J1" s="355" t="s">
        <v>400</v>
      </c>
      <c r="K1" s="317"/>
      <c r="L1" s="355" t="s">
        <v>404</v>
      </c>
      <c r="M1" s="317"/>
      <c r="N1" s="355" t="s">
        <v>410</v>
      </c>
      <c r="O1" s="317"/>
      <c r="P1" s="355" t="s">
        <v>411</v>
      </c>
      <c r="Q1" s="317"/>
      <c r="R1" s="355" t="s">
        <v>414</v>
      </c>
      <c r="S1" s="317"/>
      <c r="T1" s="355" t="s">
        <v>419</v>
      </c>
      <c r="U1" s="317"/>
      <c r="V1" s="355" t="s">
        <v>435</v>
      </c>
      <c r="W1" s="317"/>
      <c r="X1" s="355" t="s">
        <v>436</v>
      </c>
      <c r="Y1" s="317"/>
      <c r="Z1" s="355" t="s">
        <v>467</v>
      </c>
      <c r="AA1" s="317"/>
      <c r="AB1" s="355" t="s">
        <v>491</v>
      </c>
      <c r="AC1" s="317"/>
      <c r="AD1" s="355" t="s">
        <v>492</v>
      </c>
      <c r="AE1" s="317"/>
      <c r="AF1" s="355" t="s">
        <v>145</v>
      </c>
    </row>
    <row r="2" spans="1:32" ht="15.75" thickTop="1" x14ac:dyDescent="0.25">
      <c r="A2" s="310"/>
      <c r="B2" s="310" t="s">
        <v>146</v>
      </c>
      <c r="C2" s="310"/>
      <c r="D2" s="310"/>
      <c r="E2" s="310"/>
      <c r="F2" s="310"/>
      <c r="G2" s="310"/>
      <c r="H2" s="499"/>
      <c r="I2" s="319"/>
      <c r="J2" s="499"/>
      <c r="K2" s="319"/>
      <c r="L2" s="499"/>
      <c r="M2" s="319"/>
      <c r="N2" s="499"/>
      <c r="O2" s="319"/>
      <c r="P2" s="499"/>
      <c r="Q2" s="319"/>
      <c r="R2" s="499"/>
      <c r="S2" s="319"/>
      <c r="T2" s="499"/>
      <c r="U2" s="319"/>
      <c r="V2" s="499"/>
      <c r="W2" s="319"/>
      <c r="X2" s="499"/>
      <c r="Y2" s="319"/>
      <c r="Z2" s="499"/>
      <c r="AA2" s="319"/>
      <c r="AB2" s="499"/>
      <c r="AC2" s="319"/>
      <c r="AD2" s="499"/>
      <c r="AE2" s="319"/>
      <c r="AF2" s="499"/>
    </row>
    <row r="3" spans="1:32" x14ac:dyDescent="0.25">
      <c r="A3" s="310"/>
      <c r="B3" s="310"/>
      <c r="C3" s="310"/>
      <c r="D3" s="310" t="s">
        <v>147</v>
      </c>
      <c r="E3" s="310"/>
      <c r="F3" s="310"/>
      <c r="G3" s="310"/>
      <c r="H3" s="499"/>
      <c r="I3" s="319"/>
      <c r="J3" s="499"/>
      <c r="K3" s="319"/>
      <c r="L3" s="499"/>
      <c r="M3" s="319"/>
      <c r="N3" s="499"/>
      <c r="O3" s="319"/>
      <c r="P3" s="499"/>
      <c r="Q3" s="319"/>
      <c r="R3" s="499"/>
      <c r="S3" s="319"/>
      <c r="T3" s="499"/>
      <c r="U3" s="319"/>
      <c r="V3" s="499"/>
      <c r="W3" s="319"/>
      <c r="X3" s="499"/>
      <c r="Y3" s="319"/>
      <c r="Z3" s="499"/>
      <c r="AA3" s="319"/>
      <c r="AB3" s="499"/>
      <c r="AC3" s="319"/>
      <c r="AD3" s="499"/>
      <c r="AE3" s="319"/>
      <c r="AF3" s="499"/>
    </row>
    <row r="4" spans="1:32" x14ac:dyDescent="0.25">
      <c r="A4" s="310"/>
      <c r="B4" s="310"/>
      <c r="C4" s="310"/>
      <c r="D4" s="310"/>
      <c r="E4" s="310" t="s">
        <v>148</v>
      </c>
      <c r="F4" s="310"/>
      <c r="G4" s="310"/>
      <c r="H4" s="499"/>
      <c r="I4" s="319"/>
      <c r="J4" s="499"/>
      <c r="K4" s="319"/>
      <c r="L4" s="499"/>
      <c r="M4" s="319"/>
      <c r="N4" s="499"/>
      <c r="O4" s="319"/>
      <c r="P4" s="499"/>
      <c r="Q4" s="319"/>
      <c r="R4" s="499"/>
      <c r="S4" s="319"/>
      <c r="T4" s="499"/>
      <c r="U4" s="319"/>
      <c r="V4" s="499"/>
      <c r="W4" s="319"/>
      <c r="X4" s="499"/>
      <c r="Y4" s="319"/>
      <c r="Z4" s="499"/>
      <c r="AA4" s="319"/>
      <c r="AB4" s="499"/>
      <c r="AC4" s="319"/>
      <c r="AD4" s="499"/>
      <c r="AE4" s="319"/>
      <c r="AF4" s="499"/>
    </row>
    <row r="5" spans="1:32" x14ac:dyDescent="0.25">
      <c r="A5" s="310"/>
      <c r="B5" s="310"/>
      <c r="C5" s="310"/>
      <c r="D5" s="310"/>
      <c r="E5" s="310"/>
      <c r="F5" s="310" t="s">
        <v>149</v>
      </c>
      <c r="G5" s="310"/>
      <c r="H5" s="499">
        <v>4424</v>
      </c>
      <c r="I5" s="319"/>
      <c r="J5" s="499">
        <v>34548.5</v>
      </c>
      <c r="K5" s="319"/>
      <c r="L5" s="499">
        <v>973</v>
      </c>
      <c r="M5" s="319"/>
      <c r="N5" s="499">
        <v>0</v>
      </c>
      <c r="O5" s="319"/>
      <c r="P5" s="499">
        <v>30334.5</v>
      </c>
      <c r="Q5" s="319"/>
      <c r="R5" s="499">
        <v>0</v>
      </c>
      <c r="S5" s="319"/>
      <c r="T5" s="499">
        <v>0</v>
      </c>
      <c r="U5" s="319"/>
      <c r="V5" s="499">
        <v>66328.5</v>
      </c>
      <c r="W5" s="319"/>
      <c r="X5" s="499">
        <v>7402.5</v>
      </c>
      <c r="Y5" s="319"/>
      <c r="Z5" s="499">
        <v>5092.5</v>
      </c>
      <c r="AA5" s="319"/>
      <c r="AB5" s="499">
        <v>38853.5</v>
      </c>
      <c r="AC5" s="319"/>
      <c r="AD5" s="499">
        <v>0</v>
      </c>
      <c r="AE5" s="319"/>
      <c r="AF5" s="499">
        <v>187957</v>
      </c>
    </row>
    <row r="6" spans="1:32" x14ac:dyDescent="0.25">
      <c r="A6" s="310"/>
      <c r="B6" s="310"/>
      <c r="C6" s="310"/>
      <c r="D6" s="310"/>
      <c r="E6" s="310"/>
      <c r="F6" s="310" t="s">
        <v>150</v>
      </c>
      <c r="G6" s="310"/>
      <c r="H6" s="499">
        <v>0</v>
      </c>
      <c r="I6" s="319"/>
      <c r="J6" s="499">
        <v>-2513</v>
      </c>
      <c r="K6" s="319"/>
      <c r="L6" s="499">
        <v>-357</v>
      </c>
      <c r="M6" s="319"/>
      <c r="N6" s="499">
        <v>-539</v>
      </c>
      <c r="O6" s="319"/>
      <c r="P6" s="499">
        <v>-357</v>
      </c>
      <c r="Q6" s="319"/>
      <c r="R6" s="499">
        <v>0</v>
      </c>
      <c r="S6" s="319"/>
      <c r="T6" s="499">
        <v>0</v>
      </c>
      <c r="U6" s="319"/>
      <c r="V6" s="499">
        <v>-4089.75</v>
      </c>
      <c r="W6" s="319"/>
      <c r="X6" s="499">
        <v>-501.37</v>
      </c>
      <c r="Y6" s="319"/>
      <c r="Z6" s="499">
        <v>-3153.5</v>
      </c>
      <c r="AA6" s="319"/>
      <c r="AB6" s="499">
        <v>-756</v>
      </c>
      <c r="AC6" s="319"/>
      <c r="AD6" s="499">
        <v>-191.63</v>
      </c>
      <c r="AE6" s="319"/>
      <c r="AF6" s="499">
        <v>-12458.25</v>
      </c>
    </row>
    <row r="7" spans="1:32" x14ac:dyDescent="0.25">
      <c r="A7" s="310"/>
      <c r="B7" s="310"/>
      <c r="C7" s="310"/>
      <c r="D7" s="310"/>
      <c r="E7" s="310"/>
      <c r="F7" s="310" t="s">
        <v>151</v>
      </c>
      <c r="G7" s="310"/>
      <c r="H7" s="499">
        <v>-150</v>
      </c>
      <c r="I7" s="319"/>
      <c r="J7" s="499">
        <v>385</v>
      </c>
      <c r="K7" s="319"/>
      <c r="L7" s="499">
        <v>240</v>
      </c>
      <c r="M7" s="319"/>
      <c r="N7" s="499">
        <v>1375</v>
      </c>
      <c r="O7" s="319"/>
      <c r="P7" s="499">
        <v>285</v>
      </c>
      <c r="Q7" s="319"/>
      <c r="R7" s="499">
        <v>155</v>
      </c>
      <c r="S7" s="319"/>
      <c r="T7" s="499">
        <v>100</v>
      </c>
      <c r="U7" s="319"/>
      <c r="V7" s="499">
        <v>3800</v>
      </c>
      <c r="W7" s="319"/>
      <c r="X7" s="499">
        <v>1690</v>
      </c>
      <c r="Y7" s="319"/>
      <c r="Z7" s="499">
        <v>-420</v>
      </c>
      <c r="AA7" s="319"/>
      <c r="AB7" s="499">
        <v>618.88</v>
      </c>
      <c r="AC7" s="319"/>
      <c r="AD7" s="499">
        <v>880</v>
      </c>
      <c r="AE7" s="319"/>
      <c r="AF7" s="499">
        <v>8958.8799999999992</v>
      </c>
    </row>
    <row r="8" spans="1:32" ht="15.75" thickBot="1" x14ac:dyDescent="0.3">
      <c r="A8" s="310"/>
      <c r="B8" s="310"/>
      <c r="C8" s="310"/>
      <c r="D8" s="310"/>
      <c r="E8" s="310"/>
      <c r="F8" s="310" t="s">
        <v>423</v>
      </c>
      <c r="G8" s="310"/>
      <c r="H8" s="320">
        <v>0</v>
      </c>
      <c r="I8" s="319"/>
      <c r="J8" s="320">
        <v>0</v>
      </c>
      <c r="K8" s="319"/>
      <c r="L8" s="320">
        <v>0</v>
      </c>
      <c r="M8" s="319"/>
      <c r="N8" s="320">
        <v>0</v>
      </c>
      <c r="O8" s="319"/>
      <c r="P8" s="320">
        <v>0</v>
      </c>
      <c r="Q8" s="319"/>
      <c r="R8" s="320">
        <v>0</v>
      </c>
      <c r="S8" s="319"/>
      <c r="T8" s="320">
        <v>0</v>
      </c>
      <c r="U8" s="319"/>
      <c r="V8" s="320">
        <v>0</v>
      </c>
      <c r="W8" s="319"/>
      <c r="X8" s="320">
        <v>0</v>
      </c>
      <c r="Y8" s="319"/>
      <c r="Z8" s="320">
        <v>0</v>
      </c>
      <c r="AA8" s="319"/>
      <c r="AB8" s="320">
        <v>0</v>
      </c>
      <c r="AC8" s="319"/>
      <c r="AD8" s="320">
        <v>0</v>
      </c>
      <c r="AE8" s="319"/>
      <c r="AF8" s="320">
        <v>0</v>
      </c>
    </row>
    <row r="9" spans="1:32" x14ac:dyDescent="0.25">
      <c r="A9" s="310"/>
      <c r="B9" s="310"/>
      <c r="C9" s="310"/>
      <c r="D9" s="310"/>
      <c r="E9" s="310" t="s">
        <v>152</v>
      </c>
      <c r="F9" s="310"/>
      <c r="G9" s="310"/>
      <c r="H9" s="499">
        <v>4274</v>
      </c>
      <c r="I9" s="319"/>
      <c r="J9" s="499">
        <v>32420.5</v>
      </c>
      <c r="K9" s="319"/>
      <c r="L9" s="499">
        <v>856</v>
      </c>
      <c r="M9" s="319"/>
      <c r="N9" s="499">
        <v>836</v>
      </c>
      <c r="O9" s="319"/>
      <c r="P9" s="499">
        <v>30262.5</v>
      </c>
      <c r="Q9" s="319"/>
      <c r="R9" s="499">
        <v>155</v>
      </c>
      <c r="S9" s="319"/>
      <c r="T9" s="499">
        <v>100</v>
      </c>
      <c r="U9" s="319"/>
      <c r="V9" s="499">
        <v>66038.75</v>
      </c>
      <c r="W9" s="319"/>
      <c r="X9" s="499">
        <v>8591.1299999999992</v>
      </c>
      <c r="Y9" s="319"/>
      <c r="Z9" s="499">
        <v>1519</v>
      </c>
      <c r="AA9" s="319"/>
      <c r="AB9" s="499">
        <v>38716.379999999997</v>
      </c>
      <c r="AC9" s="319"/>
      <c r="AD9" s="499">
        <v>688.37</v>
      </c>
      <c r="AE9" s="319"/>
      <c r="AF9" s="499">
        <v>184457.63</v>
      </c>
    </row>
    <row r="10" spans="1:32" x14ac:dyDescent="0.25">
      <c r="A10" s="310"/>
      <c r="B10" s="310"/>
      <c r="C10" s="310"/>
      <c r="D10" s="310"/>
      <c r="E10" s="310" t="s">
        <v>153</v>
      </c>
      <c r="F10" s="310"/>
      <c r="G10" s="310"/>
      <c r="H10" s="499"/>
      <c r="I10" s="319"/>
      <c r="J10" s="499"/>
      <c r="K10" s="319"/>
      <c r="L10" s="499"/>
      <c r="M10" s="319"/>
      <c r="N10" s="499"/>
      <c r="O10" s="319"/>
      <c r="P10" s="499"/>
      <c r="Q10" s="319"/>
      <c r="R10" s="499"/>
      <c r="S10" s="319"/>
      <c r="T10" s="499"/>
      <c r="U10" s="319"/>
      <c r="V10" s="499"/>
      <c r="W10" s="319"/>
      <c r="X10" s="499"/>
      <c r="Y10" s="319"/>
      <c r="Z10" s="499"/>
      <c r="AA10" s="319"/>
      <c r="AB10" s="499"/>
      <c r="AC10" s="319"/>
      <c r="AD10" s="499"/>
      <c r="AE10" s="319"/>
      <c r="AF10" s="499"/>
    </row>
    <row r="11" spans="1:32" x14ac:dyDescent="0.25">
      <c r="A11" s="310"/>
      <c r="B11" s="310"/>
      <c r="C11" s="310"/>
      <c r="D11" s="310"/>
      <c r="E11" s="310"/>
      <c r="F11" s="310" t="s">
        <v>154</v>
      </c>
      <c r="G11" s="310"/>
      <c r="H11" s="499">
        <v>16141</v>
      </c>
      <c r="I11" s="319"/>
      <c r="J11" s="499">
        <v>2320</v>
      </c>
      <c r="K11" s="319"/>
      <c r="L11" s="499">
        <v>1931</v>
      </c>
      <c r="M11" s="319"/>
      <c r="N11" s="499">
        <v>3095</v>
      </c>
      <c r="O11" s="319"/>
      <c r="P11" s="499">
        <v>1991</v>
      </c>
      <c r="Q11" s="319"/>
      <c r="R11" s="499">
        <v>3450</v>
      </c>
      <c r="S11" s="319"/>
      <c r="T11" s="499">
        <v>1610</v>
      </c>
      <c r="U11" s="319"/>
      <c r="V11" s="499">
        <v>6354</v>
      </c>
      <c r="W11" s="319"/>
      <c r="X11" s="499">
        <v>6459</v>
      </c>
      <c r="Y11" s="319"/>
      <c r="Z11" s="499">
        <v>5464.53</v>
      </c>
      <c r="AA11" s="319"/>
      <c r="AB11" s="499">
        <v>12621.18</v>
      </c>
      <c r="AC11" s="319"/>
      <c r="AD11" s="499">
        <v>5759.65</v>
      </c>
      <c r="AE11" s="319"/>
      <c r="AF11" s="499">
        <v>67196.36</v>
      </c>
    </row>
    <row r="12" spans="1:32" x14ac:dyDescent="0.25">
      <c r="A12" s="310"/>
      <c r="B12" s="310"/>
      <c r="C12" s="310"/>
      <c r="D12" s="310"/>
      <c r="E12" s="310"/>
      <c r="F12" s="310" t="s">
        <v>155</v>
      </c>
      <c r="G12" s="310"/>
      <c r="H12" s="499">
        <v>2380</v>
      </c>
      <c r="I12" s="319"/>
      <c r="J12" s="499">
        <v>80</v>
      </c>
      <c r="K12" s="319"/>
      <c r="L12" s="499">
        <v>1675</v>
      </c>
      <c r="M12" s="319"/>
      <c r="N12" s="499">
        <v>14080</v>
      </c>
      <c r="O12" s="319"/>
      <c r="P12" s="499">
        <v>3210</v>
      </c>
      <c r="Q12" s="319"/>
      <c r="R12" s="499">
        <v>580</v>
      </c>
      <c r="S12" s="319"/>
      <c r="T12" s="499">
        <v>393</v>
      </c>
      <c r="U12" s="319"/>
      <c r="V12" s="499">
        <v>70</v>
      </c>
      <c r="W12" s="319"/>
      <c r="X12" s="499">
        <v>3070</v>
      </c>
      <c r="Y12" s="319"/>
      <c r="Z12" s="499">
        <v>50</v>
      </c>
      <c r="AA12" s="319"/>
      <c r="AB12" s="499">
        <v>2780</v>
      </c>
      <c r="AC12" s="319"/>
      <c r="AD12" s="499">
        <v>925</v>
      </c>
      <c r="AE12" s="319"/>
      <c r="AF12" s="499">
        <v>29293</v>
      </c>
    </row>
    <row r="13" spans="1:32" x14ac:dyDescent="0.25">
      <c r="A13" s="310"/>
      <c r="B13" s="310"/>
      <c r="C13" s="310"/>
      <c r="D13" s="310"/>
      <c r="E13" s="310"/>
      <c r="F13" s="310" t="s">
        <v>156</v>
      </c>
      <c r="G13" s="310"/>
      <c r="H13" s="499">
        <v>580.04999999999995</v>
      </c>
      <c r="I13" s="319"/>
      <c r="J13" s="499">
        <v>0</v>
      </c>
      <c r="K13" s="319"/>
      <c r="L13" s="499">
        <v>0</v>
      </c>
      <c r="M13" s="319"/>
      <c r="N13" s="499">
        <v>254.72</v>
      </c>
      <c r="O13" s="319"/>
      <c r="P13" s="499">
        <v>0</v>
      </c>
      <c r="Q13" s="319"/>
      <c r="R13" s="499">
        <v>0</v>
      </c>
      <c r="S13" s="319"/>
      <c r="T13" s="499">
        <v>859.58</v>
      </c>
      <c r="U13" s="319"/>
      <c r="V13" s="499">
        <v>161.1</v>
      </c>
      <c r="W13" s="319"/>
      <c r="X13" s="499">
        <v>118.85</v>
      </c>
      <c r="Y13" s="319"/>
      <c r="Z13" s="499">
        <v>140.25</v>
      </c>
      <c r="AA13" s="319"/>
      <c r="AB13" s="499">
        <v>327.04000000000002</v>
      </c>
      <c r="AC13" s="319"/>
      <c r="AD13" s="499">
        <v>0</v>
      </c>
      <c r="AE13" s="319"/>
      <c r="AF13" s="499">
        <v>2441.59</v>
      </c>
    </row>
    <row r="14" spans="1:32" x14ac:dyDescent="0.25">
      <c r="A14" s="310"/>
      <c r="B14" s="310"/>
      <c r="C14" s="310"/>
      <c r="D14" s="310"/>
      <c r="E14" s="310"/>
      <c r="F14" s="310" t="s">
        <v>157</v>
      </c>
      <c r="G14" s="310"/>
      <c r="H14" s="499">
        <v>11300</v>
      </c>
      <c r="I14" s="319"/>
      <c r="J14" s="499">
        <v>0</v>
      </c>
      <c r="K14" s="319"/>
      <c r="L14" s="499">
        <v>0</v>
      </c>
      <c r="M14" s="319"/>
      <c r="N14" s="499">
        <v>0</v>
      </c>
      <c r="O14" s="319"/>
      <c r="P14" s="499">
        <v>0</v>
      </c>
      <c r="Q14" s="319"/>
      <c r="R14" s="499">
        <v>0</v>
      </c>
      <c r="S14" s="319"/>
      <c r="T14" s="499">
        <v>0</v>
      </c>
      <c r="U14" s="319"/>
      <c r="V14" s="499">
        <v>0</v>
      </c>
      <c r="W14" s="319"/>
      <c r="X14" s="499">
        <v>0</v>
      </c>
      <c r="Y14" s="319"/>
      <c r="Z14" s="499">
        <v>0</v>
      </c>
      <c r="AA14" s="319"/>
      <c r="AB14" s="499">
        <v>0</v>
      </c>
      <c r="AC14" s="319"/>
      <c r="AD14" s="499">
        <v>17500</v>
      </c>
      <c r="AE14" s="319"/>
      <c r="AF14" s="499">
        <v>28800</v>
      </c>
    </row>
    <row r="15" spans="1:32" x14ac:dyDescent="0.25">
      <c r="A15" s="310"/>
      <c r="B15" s="310"/>
      <c r="C15" s="310"/>
      <c r="D15" s="310"/>
      <c r="E15" s="310"/>
      <c r="F15" s="310" t="s">
        <v>158</v>
      </c>
      <c r="G15" s="310"/>
      <c r="H15" s="499">
        <v>0</v>
      </c>
      <c r="I15" s="319"/>
      <c r="J15" s="499">
        <v>0</v>
      </c>
      <c r="K15" s="319"/>
      <c r="L15" s="499">
        <v>0</v>
      </c>
      <c r="M15" s="319"/>
      <c r="N15" s="499">
        <v>0</v>
      </c>
      <c r="O15" s="319"/>
      <c r="P15" s="499">
        <v>0</v>
      </c>
      <c r="Q15" s="319"/>
      <c r="R15" s="499">
        <v>0</v>
      </c>
      <c r="S15" s="319"/>
      <c r="T15" s="499">
        <v>0</v>
      </c>
      <c r="U15" s="319"/>
      <c r="V15" s="499">
        <v>0</v>
      </c>
      <c r="W15" s="319"/>
      <c r="X15" s="499">
        <v>0</v>
      </c>
      <c r="Y15" s="319"/>
      <c r="Z15" s="499">
        <v>0</v>
      </c>
      <c r="AA15" s="319"/>
      <c r="AB15" s="499">
        <v>750</v>
      </c>
      <c r="AC15" s="319"/>
      <c r="AD15" s="499">
        <v>0</v>
      </c>
      <c r="AE15" s="319"/>
      <c r="AF15" s="499">
        <v>750</v>
      </c>
    </row>
    <row r="16" spans="1:32" ht="15.75" thickBot="1" x14ac:dyDescent="0.3">
      <c r="A16" s="310"/>
      <c r="B16" s="310"/>
      <c r="C16" s="310"/>
      <c r="D16" s="310"/>
      <c r="E16" s="310" t="s">
        <v>159</v>
      </c>
      <c r="F16" s="310"/>
      <c r="G16" s="310"/>
      <c r="H16" s="320">
        <v>0</v>
      </c>
      <c r="I16" s="319"/>
      <c r="J16" s="320">
        <v>0</v>
      </c>
      <c r="K16" s="319"/>
      <c r="L16" s="320">
        <v>0</v>
      </c>
      <c r="M16" s="319"/>
      <c r="N16" s="320">
        <v>0</v>
      </c>
      <c r="O16" s="319"/>
      <c r="P16" s="320">
        <v>0</v>
      </c>
      <c r="Q16" s="319"/>
      <c r="R16" s="320">
        <v>0</v>
      </c>
      <c r="S16" s="319"/>
      <c r="T16" s="320">
        <v>10573.46</v>
      </c>
      <c r="U16" s="319"/>
      <c r="V16" s="320">
        <v>0</v>
      </c>
      <c r="W16" s="319"/>
      <c r="X16" s="320">
        <v>0</v>
      </c>
      <c r="Y16" s="319"/>
      <c r="Z16" s="320">
        <v>0</v>
      </c>
      <c r="AA16" s="319"/>
      <c r="AB16" s="320">
        <v>0</v>
      </c>
      <c r="AC16" s="319"/>
      <c r="AD16" s="320">
        <v>0</v>
      </c>
      <c r="AE16" s="319"/>
      <c r="AF16" s="320">
        <v>10573.46</v>
      </c>
    </row>
    <row r="17" spans="1:32" x14ac:dyDescent="0.25">
      <c r="A17" s="310"/>
      <c r="B17" s="310"/>
      <c r="C17" s="310"/>
      <c r="D17" s="310"/>
      <c r="E17" s="310" t="s">
        <v>160</v>
      </c>
      <c r="F17" s="310"/>
      <c r="G17" s="310"/>
      <c r="H17" s="499">
        <v>30401.05</v>
      </c>
      <c r="I17" s="319"/>
      <c r="J17" s="499">
        <v>2400</v>
      </c>
      <c r="K17" s="319"/>
      <c r="L17" s="499">
        <v>3606</v>
      </c>
      <c r="M17" s="319"/>
      <c r="N17" s="499">
        <v>17429.72</v>
      </c>
      <c r="O17" s="319"/>
      <c r="P17" s="499">
        <v>5201</v>
      </c>
      <c r="Q17" s="319"/>
      <c r="R17" s="499">
        <v>4030</v>
      </c>
      <c r="S17" s="319"/>
      <c r="T17" s="499">
        <v>13436.04</v>
      </c>
      <c r="U17" s="319"/>
      <c r="V17" s="499">
        <v>6585.1</v>
      </c>
      <c r="W17" s="319"/>
      <c r="X17" s="499">
        <v>9647.85</v>
      </c>
      <c r="Y17" s="319"/>
      <c r="Z17" s="499">
        <v>5654.78</v>
      </c>
      <c r="AA17" s="319"/>
      <c r="AB17" s="499">
        <v>16478.22</v>
      </c>
      <c r="AC17" s="319"/>
      <c r="AD17" s="499">
        <v>24184.65</v>
      </c>
      <c r="AE17" s="319"/>
      <c r="AF17" s="499">
        <v>139054.41</v>
      </c>
    </row>
    <row r="18" spans="1:32" x14ac:dyDescent="0.25">
      <c r="A18" s="310"/>
      <c r="B18" s="310"/>
      <c r="C18" s="310"/>
      <c r="D18" s="310"/>
      <c r="E18" s="310"/>
      <c r="F18" s="310" t="s">
        <v>161</v>
      </c>
      <c r="G18" s="310"/>
      <c r="H18" s="499"/>
      <c r="I18" s="319"/>
      <c r="J18" s="499"/>
      <c r="K18" s="319"/>
      <c r="L18" s="499"/>
      <c r="M18" s="319"/>
      <c r="N18" s="499"/>
      <c r="O18" s="319"/>
      <c r="P18" s="499"/>
      <c r="Q18" s="319"/>
      <c r="R18" s="499"/>
      <c r="S18" s="319"/>
      <c r="T18" s="499"/>
      <c r="U18" s="319"/>
      <c r="V18" s="499"/>
      <c r="W18" s="319"/>
      <c r="X18" s="499"/>
      <c r="Y18" s="319"/>
      <c r="Z18" s="499"/>
      <c r="AA18" s="319"/>
      <c r="AB18" s="499"/>
      <c r="AC18" s="319"/>
      <c r="AD18" s="499"/>
      <c r="AE18" s="319"/>
      <c r="AF18" s="499"/>
    </row>
    <row r="19" spans="1:32" x14ac:dyDescent="0.25">
      <c r="A19" s="310"/>
      <c r="B19" s="310"/>
      <c r="C19" s="310"/>
      <c r="D19" s="310"/>
      <c r="E19" s="310"/>
      <c r="F19" s="310" t="s">
        <v>162</v>
      </c>
      <c r="G19" s="310"/>
      <c r="H19" s="499">
        <v>0</v>
      </c>
      <c r="I19" s="319"/>
      <c r="J19" s="499">
        <v>0</v>
      </c>
      <c r="K19" s="319"/>
      <c r="L19" s="499">
        <v>0</v>
      </c>
      <c r="M19" s="319"/>
      <c r="N19" s="499">
        <v>0</v>
      </c>
      <c r="O19" s="319"/>
      <c r="P19" s="499">
        <v>2.5</v>
      </c>
      <c r="Q19" s="319"/>
      <c r="R19" s="499">
        <v>0</v>
      </c>
      <c r="S19" s="319"/>
      <c r="T19" s="499">
        <v>0</v>
      </c>
      <c r="U19" s="319"/>
      <c r="V19" s="499">
        <v>0</v>
      </c>
      <c r="W19" s="319"/>
      <c r="X19" s="499">
        <v>0</v>
      </c>
      <c r="Y19" s="319"/>
      <c r="Z19" s="499">
        <v>0</v>
      </c>
      <c r="AA19" s="319"/>
      <c r="AB19" s="499">
        <v>0</v>
      </c>
      <c r="AC19" s="319"/>
      <c r="AD19" s="499">
        <v>0</v>
      </c>
      <c r="AE19" s="319"/>
      <c r="AF19" s="499">
        <v>2.5</v>
      </c>
    </row>
    <row r="20" spans="1:32" x14ac:dyDescent="0.25">
      <c r="A20" s="310"/>
      <c r="B20" s="310"/>
      <c r="C20" s="310"/>
      <c r="D20" s="310"/>
      <c r="E20" s="310"/>
      <c r="F20" s="310" t="s">
        <v>163</v>
      </c>
      <c r="G20" s="310"/>
      <c r="H20" s="499">
        <v>0</v>
      </c>
      <c r="I20" s="319"/>
      <c r="J20" s="499">
        <v>34.5</v>
      </c>
      <c r="K20" s="319"/>
      <c r="L20" s="499">
        <v>0</v>
      </c>
      <c r="M20" s="319"/>
      <c r="N20" s="499">
        <v>138.47</v>
      </c>
      <c r="O20" s="319"/>
      <c r="P20" s="499">
        <v>70.8</v>
      </c>
      <c r="Q20" s="319"/>
      <c r="R20" s="499">
        <v>0</v>
      </c>
      <c r="S20" s="319"/>
      <c r="T20" s="499">
        <v>2218.12</v>
      </c>
      <c r="U20" s="319"/>
      <c r="V20" s="499">
        <v>25</v>
      </c>
      <c r="W20" s="319"/>
      <c r="X20" s="499">
        <v>55.17</v>
      </c>
      <c r="Y20" s="319"/>
      <c r="Z20" s="499">
        <v>30</v>
      </c>
      <c r="AA20" s="319"/>
      <c r="AB20" s="499">
        <v>102.99</v>
      </c>
      <c r="AC20" s="319"/>
      <c r="AD20" s="499">
        <v>521.19000000000005</v>
      </c>
      <c r="AE20" s="319"/>
      <c r="AF20" s="499">
        <v>3196.24</v>
      </c>
    </row>
    <row r="21" spans="1:32" x14ac:dyDescent="0.25">
      <c r="A21" s="310"/>
      <c r="B21" s="310"/>
      <c r="C21" s="310"/>
      <c r="D21" s="310"/>
      <c r="E21" s="310"/>
      <c r="F21" s="310" t="s">
        <v>164</v>
      </c>
      <c r="G21" s="310"/>
      <c r="H21" s="499">
        <v>0</v>
      </c>
      <c r="I21" s="319"/>
      <c r="J21" s="499">
        <v>7</v>
      </c>
      <c r="K21" s="319"/>
      <c r="L21" s="499">
        <v>0</v>
      </c>
      <c r="M21" s="319"/>
      <c r="N21" s="499">
        <v>0</v>
      </c>
      <c r="O21" s="319"/>
      <c r="P21" s="499">
        <v>23.37</v>
      </c>
      <c r="Q21" s="319"/>
      <c r="R21" s="499">
        <v>0</v>
      </c>
      <c r="S21" s="319"/>
      <c r="T21" s="499">
        <v>0</v>
      </c>
      <c r="U21" s="319"/>
      <c r="V21" s="499">
        <v>2.59</v>
      </c>
      <c r="W21" s="319"/>
      <c r="X21" s="499">
        <v>0</v>
      </c>
      <c r="Y21" s="319"/>
      <c r="Z21" s="499">
        <v>16</v>
      </c>
      <c r="AA21" s="319"/>
      <c r="AB21" s="499">
        <v>28</v>
      </c>
      <c r="AC21" s="319"/>
      <c r="AD21" s="499">
        <v>92</v>
      </c>
      <c r="AE21" s="319"/>
      <c r="AF21" s="499">
        <v>168.96</v>
      </c>
    </row>
    <row r="22" spans="1:32" x14ac:dyDescent="0.25">
      <c r="A22" s="310"/>
      <c r="B22" s="310"/>
      <c r="C22" s="310"/>
      <c r="D22" s="310"/>
      <c r="E22" s="310"/>
      <c r="F22" s="310" t="s">
        <v>380</v>
      </c>
      <c r="G22" s="310"/>
      <c r="H22" s="499">
        <v>0</v>
      </c>
      <c r="I22" s="319"/>
      <c r="J22" s="499">
        <v>6</v>
      </c>
      <c r="K22" s="319"/>
      <c r="L22" s="499">
        <v>6893</v>
      </c>
      <c r="M22" s="319"/>
      <c r="N22" s="499">
        <v>0</v>
      </c>
      <c r="O22" s="319"/>
      <c r="P22" s="499">
        <v>0</v>
      </c>
      <c r="Q22" s="319"/>
      <c r="R22" s="499">
        <v>-35</v>
      </c>
      <c r="S22" s="319"/>
      <c r="T22" s="499">
        <v>0</v>
      </c>
      <c r="U22" s="319"/>
      <c r="V22" s="499">
        <v>0</v>
      </c>
      <c r="W22" s="319"/>
      <c r="X22" s="499">
        <v>0</v>
      </c>
      <c r="Y22" s="319"/>
      <c r="Z22" s="499">
        <v>0</v>
      </c>
      <c r="AA22" s="319"/>
      <c r="AB22" s="499">
        <v>0</v>
      </c>
      <c r="AC22" s="319"/>
      <c r="AD22" s="499">
        <v>0</v>
      </c>
      <c r="AE22" s="319"/>
      <c r="AF22" s="499">
        <v>6864</v>
      </c>
    </row>
    <row r="23" spans="1:32" x14ac:dyDescent="0.25">
      <c r="A23" s="310"/>
      <c r="B23" s="310"/>
      <c r="C23" s="310"/>
      <c r="D23" s="310"/>
      <c r="E23" s="310"/>
      <c r="F23" s="310" t="s">
        <v>165</v>
      </c>
      <c r="G23" s="310"/>
      <c r="H23" s="499">
        <v>0</v>
      </c>
      <c r="I23" s="319"/>
      <c r="J23" s="499">
        <v>0</v>
      </c>
      <c r="K23" s="319"/>
      <c r="L23" s="499">
        <v>1260.6500000000001</v>
      </c>
      <c r="M23" s="319"/>
      <c r="N23" s="499">
        <v>0</v>
      </c>
      <c r="O23" s="319"/>
      <c r="P23" s="499">
        <v>0</v>
      </c>
      <c r="Q23" s="319"/>
      <c r="R23" s="499">
        <v>0</v>
      </c>
      <c r="S23" s="319"/>
      <c r="T23" s="499">
        <v>0</v>
      </c>
      <c r="U23" s="319"/>
      <c r="V23" s="499">
        <v>0</v>
      </c>
      <c r="W23" s="319"/>
      <c r="X23" s="499">
        <v>0</v>
      </c>
      <c r="Y23" s="319"/>
      <c r="Z23" s="499">
        <v>0</v>
      </c>
      <c r="AA23" s="319"/>
      <c r="AB23" s="499">
        <v>0</v>
      </c>
      <c r="AC23" s="319"/>
      <c r="AD23" s="499">
        <v>0</v>
      </c>
      <c r="AE23" s="319"/>
      <c r="AF23" s="499">
        <v>1260.6500000000001</v>
      </c>
    </row>
    <row r="24" spans="1:32" x14ac:dyDescent="0.25">
      <c r="A24" s="310"/>
      <c r="B24" s="310"/>
      <c r="C24" s="310"/>
      <c r="D24" s="310"/>
      <c r="E24" s="310"/>
      <c r="F24" s="310" t="s">
        <v>166</v>
      </c>
      <c r="G24" s="310"/>
      <c r="H24" s="499">
        <v>0</v>
      </c>
      <c r="I24" s="319"/>
      <c r="J24" s="499">
        <v>1050</v>
      </c>
      <c r="K24" s="319"/>
      <c r="L24" s="499">
        <v>5600</v>
      </c>
      <c r="M24" s="319"/>
      <c r="N24" s="499">
        <v>34195</v>
      </c>
      <c r="O24" s="319"/>
      <c r="P24" s="499">
        <v>62085</v>
      </c>
      <c r="Q24" s="319"/>
      <c r="R24" s="499">
        <v>13713</v>
      </c>
      <c r="S24" s="319"/>
      <c r="T24" s="499">
        <v>9737</v>
      </c>
      <c r="U24" s="319"/>
      <c r="V24" s="499">
        <v>0</v>
      </c>
      <c r="W24" s="319"/>
      <c r="X24" s="499">
        <v>0</v>
      </c>
      <c r="Y24" s="319"/>
      <c r="Z24" s="499">
        <v>0</v>
      </c>
      <c r="AA24" s="319"/>
      <c r="AB24" s="499">
        <v>0</v>
      </c>
      <c r="AC24" s="319"/>
      <c r="AD24" s="499">
        <v>0</v>
      </c>
      <c r="AE24" s="319"/>
      <c r="AF24" s="499">
        <v>126380</v>
      </c>
    </row>
    <row r="25" spans="1:32" x14ac:dyDescent="0.25">
      <c r="A25" s="310"/>
      <c r="B25" s="310"/>
      <c r="C25" s="310"/>
      <c r="D25" s="310"/>
      <c r="E25" s="310"/>
      <c r="F25" s="310"/>
      <c r="G25" s="310" t="s">
        <v>167</v>
      </c>
      <c r="H25" s="499"/>
      <c r="I25" s="319"/>
      <c r="J25" s="499"/>
      <c r="K25" s="319"/>
      <c r="L25" s="499"/>
      <c r="M25" s="319"/>
      <c r="N25" s="499"/>
      <c r="O25" s="319"/>
      <c r="P25" s="499"/>
      <c r="Q25" s="319"/>
      <c r="R25" s="499"/>
      <c r="S25" s="319"/>
      <c r="T25" s="499"/>
      <c r="U25" s="319"/>
      <c r="V25" s="499"/>
      <c r="W25" s="319"/>
      <c r="X25" s="499"/>
      <c r="Y25" s="319"/>
      <c r="Z25" s="499"/>
      <c r="AA25" s="319"/>
      <c r="AB25" s="499"/>
      <c r="AC25" s="319"/>
      <c r="AD25" s="499"/>
      <c r="AE25" s="319"/>
      <c r="AF25" s="499"/>
    </row>
    <row r="26" spans="1:32" x14ac:dyDescent="0.25">
      <c r="A26" s="310"/>
      <c r="B26" s="310"/>
      <c r="C26" s="310"/>
      <c r="D26" s="310"/>
      <c r="E26" s="310"/>
      <c r="F26" s="310"/>
      <c r="G26" s="310" t="s">
        <v>168</v>
      </c>
      <c r="H26" s="499">
        <v>2000</v>
      </c>
      <c r="I26" s="319"/>
      <c r="J26" s="499">
        <v>3584</v>
      </c>
      <c r="K26" s="319"/>
      <c r="L26" s="499">
        <v>2272.2199999999998</v>
      </c>
      <c r="M26" s="319"/>
      <c r="N26" s="499">
        <v>1750</v>
      </c>
      <c r="O26" s="319"/>
      <c r="P26" s="499">
        <v>3042</v>
      </c>
      <c r="Q26" s="319"/>
      <c r="R26" s="499">
        <v>2582.5</v>
      </c>
      <c r="S26" s="319"/>
      <c r="T26" s="499">
        <v>2523.61</v>
      </c>
      <c r="U26" s="319"/>
      <c r="V26" s="499">
        <v>2496.66</v>
      </c>
      <c r="W26" s="319"/>
      <c r="X26" s="499">
        <v>4950</v>
      </c>
      <c r="Y26" s="319"/>
      <c r="Z26" s="499">
        <v>4898.6099999999997</v>
      </c>
      <c r="AA26" s="319"/>
      <c r="AB26" s="499">
        <v>2648.45</v>
      </c>
      <c r="AC26" s="319"/>
      <c r="AD26" s="499">
        <v>1200</v>
      </c>
      <c r="AE26" s="319"/>
      <c r="AF26" s="499">
        <v>33948.050000000003</v>
      </c>
    </row>
    <row r="27" spans="1:32" x14ac:dyDescent="0.25">
      <c r="A27" s="310"/>
      <c r="B27" s="310"/>
      <c r="C27" s="310"/>
      <c r="D27" s="310"/>
      <c r="E27" s="310"/>
      <c r="F27" s="310"/>
      <c r="G27" s="310" t="s">
        <v>169</v>
      </c>
      <c r="H27" s="499">
        <v>4850</v>
      </c>
      <c r="I27" s="319"/>
      <c r="J27" s="499">
        <v>3750</v>
      </c>
      <c r="K27" s="319"/>
      <c r="L27" s="499">
        <v>3350</v>
      </c>
      <c r="M27" s="319"/>
      <c r="N27" s="499">
        <v>1400</v>
      </c>
      <c r="O27" s="319"/>
      <c r="P27" s="499">
        <v>900</v>
      </c>
      <c r="Q27" s="319"/>
      <c r="R27" s="499">
        <v>600</v>
      </c>
      <c r="S27" s="319"/>
      <c r="T27" s="499">
        <v>6450</v>
      </c>
      <c r="U27" s="319"/>
      <c r="V27" s="499">
        <v>8185</v>
      </c>
      <c r="W27" s="319"/>
      <c r="X27" s="499">
        <v>10525</v>
      </c>
      <c r="Y27" s="319"/>
      <c r="Z27" s="499">
        <v>15450</v>
      </c>
      <c r="AA27" s="319"/>
      <c r="AB27" s="499">
        <v>14180</v>
      </c>
      <c r="AC27" s="319"/>
      <c r="AD27" s="499">
        <v>7950</v>
      </c>
      <c r="AE27" s="319"/>
      <c r="AF27" s="499">
        <v>77590</v>
      </c>
    </row>
    <row r="28" spans="1:32" ht="15.75" thickBot="1" x14ac:dyDescent="0.3">
      <c r="A28" s="310"/>
      <c r="B28" s="310"/>
      <c r="C28" s="310"/>
      <c r="D28" s="310"/>
      <c r="E28" s="310"/>
      <c r="F28" s="310" t="s">
        <v>170</v>
      </c>
      <c r="G28" s="310"/>
      <c r="H28" s="497">
        <v>200</v>
      </c>
      <c r="I28" s="319"/>
      <c r="J28" s="497">
        <v>200</v>
      </c>
      <c r="K28" s="319"/>
      <c r="L28" s="497">
        <v>75</v>
      </c>
      <c r="M28" s="319"/>
      <c r="N28" s="497">
        <v>200</v>
      </c>
      <c r="O28" s="319"/>
      <c r="P28" s="497">
        <v>400</v>
      </c>
      <c r="Q28" s="319"/>
      <c r="R28" s="497">
        <v>400</v>
      </c>
      <c r="S28" s="319"/>
      <c r="T28" s="497">
        <v>800</v>
      </c>
      <c r="U28" s="319"/>
      <c r="V28" s="497">
        <v>800</v>
      </c>
      <c r="W28" s="319"/>
      <c r="X28" s="497">
        <v>1200</v>
      </c>
      <c r="Y28" s="319"/>
      <c r="Z28" s="497">
        <v>600</v>
      </c>
      <c r="AA28" s="319"/>
      <c r="AB28" s="497">
        <v>1600</v>
      </c>
      <c r="AC28" s="319"/>
      <c r="AD28" s="497">
        <v>1400</v>
      </c>
      <c r="AE28" s="319"/>
      <c r="AF28" s="497">
        <v>7875</v>
      </c>
    </row>
    <row r="29" spans="1:32" ht="15.75" thickBot="1" x14ac:dyDescent="0.3">
      <c r="A29" s="310"/>
      <c r="B29" s="310"/>
      <c r="C29" s="310"/>
      <c r="D29" s="310"/>
      <c r="E29" s="310" t="s">
        <v>171</v>
      </c>
      <c r="F29" s="310"/>
      <c r="G29" s="310"/>
      <c r="H29" s="321">
        <v>7050</v>
      </c>
      <c r="I29" s="319"/>
      <c r="J29" s="321">
        <v>7534</v>
      </c>
      <c r="K29" s="319"/>
      <c r="L29" s="321">
        <v>5697.22</v>
      </c>
      <c r="M29" s="319"/>
      <c r="N29" s="321">
        <v>3350</v>
      </c>
      <c r="O29" s="319"/>
      <c r="P29" s="321">
        <v>4342</v>
      </c>
      <c r="Q29" s="319"/>
      <c r="R29" s="321">
        <v>3582.5</v>
      </c>
      <c r="S29" s="319"/>
      <c r="T29" s="321">
        <v>9773.61</v>
      </c>
      <c r="U29" s="319"/>
      <c r="V29" s="321">
        <v>11481.66</v>
      </c>
      <c r="W29" s="319"/>
      <c r="X29" s="321">
        <v>16675</v>
      </c>
      <c r="Y29" s="319"/>
      <c r="Z29" s="321">
        <v>20948.61</v>
      </c>
      <c r="AA29" s="319"/>
      <c r="AB29" s="321">
        <v>18428.45</v>
      </c>
      <c r="AC29" s="319"/>
      <c r="AD29" s="321">
        <v>10550</v>
      </c>
      <c r="AE29" s="319"/>
      <c r="AF29" s="321">
        <v>119413.05</v>
      </c>
    </row>
    <row r="30" spans="1:32" x14ac:dyDescent="0.25">
      <c r="A30" s="310"/>
      <c r="B30" s="310"/>
      <c r="C30" s="310"/>
      <c r="D30" s="310"/>
      <c r="E30" s="310" t="s">
        <v>172</v>
      </c>
      <c r="F30" s="310"/>
      <c r="G30" s="310"/>
      <c r="H30" s="499">
        <v>7050</v>
      </c>
      <c r="I30" s="319"/>
      <c r="J30" s="499">
        <v>8631.5</v>
      </c>
      <c r="K30" s="319"/>
      <c r="L30" s="499">
        <v>19450.87</v>
      </c>
      <c r="M30" s="319"/>
      <c r="N30" s="499">
        <v>37683.47</v>
      </c>
      <c r="O30" s="319"/>
      <c r="P30" s="499">
        <v>66523.67</v>
      </c>
      <c r="Q30" s="319"/>
      <c r="R30" s="499">
        <v>17260.5</v>
      </c>
      <c r="S30" s="319"/>
      <c r="T30" s="499">
        <v>21728.73</v>
      </c>
      <c r="U30" s="319"/>
      <c r="V30" s="499">
        <v>11509.25</v>
      </c>
      <c r="W30" s="319"/>
      <c r="X30" s="499">
        <v>16730.169999999998</v>
      </c>
      <c r="Y30" s="319"/>
      <c r="Z30" s="499">
        <v>20994.61</v>
      </c>
      <c r="AA30" s="319"/>
      <c r="AB30" s="499">
        <v>18559.439999999999</v>
      </c>
      <c r="AC30" s="319"/>
      <c r="AD30" s="499">
        <v>11163.19</v>
      </c>
      <c r="AE30" s="319"/>
      <c r="AF30" s="499">
        <v>257285.4</v>
      </c>
    </row>
    <row r="31" spans="1:32" x14ac:dyDescent="0.25">
      <c r="A31" s="310"/>
      <c r="B31" s="310"/>
      <c r="C31" s="310"/>
      <c r="D31" s="310"/>
      <c r="E31" s="310" t="s">
        <v>173</v>
      </c>
      <c r="F31" s="310"/>
      <c r="G31" s="310"/>
      <c r="H31" s="499">
        <v>175</v>
      </c>
      <c r="I31" s="319"/>
      <c r="J31" s="499">
        <v>175</v>
      </c>
      <c r="K31" s="319"/>
      <c r="L31" s="499">
        <v>175</v>
      </c>
      <c r="M31" s="319"/>
      <c r="N31" s="499">
        <v>175</v>
      </c>
      <c r="O31" s="319"/>
      <c r="P31" s="499">
        <v>175</v>
      </c>
      <c r="Q31" s="319"/>
      <c r="R31" s="499">
        <v>175</v>
      </c>
      <c r="S31" s="319"/>
      <c r="T31" s="499">
        <v>175</v>
      </c>
      <c r="U31" s="319"/>
      <c r="V31" s="499">
        <v>175</v>
      </c>
      <c r="W31" s="319"/>
      <c r="X31" s="499">
        <v>175</v>
      </c>
      <c r="Y31" s="319"/>
      <c r="Z31" s="499">
        <v>175</v>
      </c>
      <c r="AA31" s="319"/>
      <c r="AB31" s="499">
        <v>175</v>
      </c>
      <c r="AC31" s="319"/>
      <c r="AD31" s="499">
        <v>175</v>
      </c>
      <c r="AE31" s="319"/>
      <c r="AF31" s="499">
        <v>2100</v>
      </c>
    </row>
    <row r="32" spans="1:32" x14ac:dyDescent="0.25">
      <c r="A32" s="310"/>
      <c r="B32" s="310"/>
      <c r="C32" s="310"/>
      <c r="D32" s="310"/>
      <c r="E32" s="310" t="s">
        <v>174</v>
      </c>
      <c r="F32" s="310"/>
      <c r="G32" s="310"/>
      <c r="H32" s="499">
        <v>0.34</v>
      </c>
      <c r="I32" s="319"/>
      <c r="J32" s="499">
        <v>3.4</v>
      </c>
      <c r="K32" s="319"/>
      <c r="L32" s="499">
        <v>0</v>
      </c>
      <c r="M32" s="319"/>
      <c r="N32" s="499">
        <v>57.44</v>
      </c>
      <c r="O32" s="319"/>
      <c r="P32" s="499">
        <v>3.29</v>
      </c>
      <c r="Q32" s="319"/>
      <c r="R32" s="499">
        <v>134.19</v>
      </c>
      <c r="S32" s="319"/>
      <c r="T32" s="499">
        <v>64.209999999999994</v>
      </c>
      <c r="U32" s="319"/>
      <c r="V32" s="499">
        <v>81.900000000000006</v>
      </c>
      <c r="W32" s="319"/>
      <c r="X32" s="499">
        <v>102.22</v>
      </c>
      <c r="Y32" s="319"/>
      <c r="Z32" s="499">
        <v>82.25</v>
      </c>
      <c r="AA32" s="319"/>
      <c r="AB32" s="499">
        <v>102.58</v>
      </c>
      <c r="AC32" s="319"/>
      <c r="AD32" s="499">
        <v>87.87</v>
      </c>
      <c r="AE32" s="319"/>
      <c r="AF32" s="499">
        <v>719.69</v>
      </c>
    </row>
    <row r="33" spans="1:32" ht="15.75" thickBot="1" x14ac:dyDescent="0.3">
      <c r="A33" s="310"/>
      <c r="B33" s="310"/>
      <c r="C33" s="310"/>
      <c r="D33" s="310" t="s">
        <v>32</v>
      </c>
      <c r="E33" s="310"/>
      <c r="F33" s="310"/>
      <c r="G33" s="310"/>
      <c r="H33" s="320">
        <v>46.65</v>
      </c>
      <c r="I33" s="319"/>
      <c r="J33" s="320">
        <v>0</v>
      </c>
      <c r="K33" s="319"/>
      <c r="L33" s="320">
        <v>0</v>
      </c>
      <c r="M33" s="319"/>
      <c r="N33" s="320">
        <v>0</v>
      </c>
      <c r="O33" s="319"/>
      <c r="P33" s="320">
        <v>0</v>
      </c>
      <c r="Q33" s="319"/>
      <c r="R33" s="320">
        <v>0</v>
      </c>
      <c r="S33" s="319"/>
      <c r="T33" s="320">
        <v>0</v>
      </c>
      <c r="U33" s="319"/>
      <c r="V33" s="320">
        <v>0</v>
      </c>
      <c r="W33" s="319"/>
      <c r="X33" s="320">
        <v>0</v>
      </c>
      <c r="Y33" s="319"/>
      <c r="Z33" s="320">
        <v>0</v>
      </c>
      <c r="AA33" s="319"/>
      <c r="AB33" s="320">
        <v>0</v>
      </c>
      <c r="AC33" s="319"/>
      <c r="AD33" s="320">
        <v>0</v>
      </c>
      <c r="AE33" s="319"/>
      <c r="AF33" s="320">
        <v>46.65</v>
      </c>
    </row>
    <row r="34" spans="1:32" x14ac:dyDescent="0.25">
      <c r="A34" s="310"/>
      <c r="B34" s="310"/>
      <c r="C34" s="310"/>
      <c r="D34" s="310" t="s">
        <v>175</v>
      </c>
      <c r="E34" s="310"/>
      <c r="F34" s="310"/>
      <c r="G34" s="310"/>
      <c r="H34" s="499">
        <v>41947.040000000001</v>
      </c>
      <c r="I34" s="319"/>
      <c r="J34" s="499">
        <v>43630.400000000001</v>
      </c>
      <c r="K34" s="319"/>
      <c r="L34" s="499">
        <v>24087.87</v>
      </c>
      <c r="M34" s="319"/>
      <c r="N34" s="499">
        <v>56181.63</v>
      </c>
      <c r="O34" s="319"/>
      <c r="P34" s="499">
        <v>102165.46</v>
      </c>
      <c r="Q34" s="319"/>
      <c r="R34" s="499">
        <v>21754.69</v>
      </c>
      <c r="S34" s="319"/>
      <c r="T34" s="499">
        <v>35503.980000000003</v>
      </c>
      <c r="U34" s="319"/>
      <c r="V34" s="499">
        <v>84390</v>
      </c>
      <c r="W34" s="319"/>
      <c r="X34" s="499">
        <v>35246.370000000003</v>
      </c>
      <c r="Y34" s="319"/>
      <c r="Z34" s="499">
        <v>28425.64</v>
      </c>
      <c r="AA34" s="319"/>
      <c r="AB34" s="499">
        <v>74031.62</v>
      </c>
      <c r="AC34" s="319"/>
      <c r="AD34" s="499">
        <v>36299.08</v>
      </c>
      <c r="AE34" s="319"/>
      <c r="AF34" s="499">
        <v>583663.78</v>
      </c>
    </row>
    <row r="35" spans="1:32" ht="15.75" thickBot="1" x14ac:dyDescent="0.3">
      <c r="A35" s="310"/>
      <c r="B35" s="310"/>
      <c r="C35" s="310" t="s">
        <v>178</v>
      </c>
      <c r="D35" s="310"/>
      <c r="E35" s="310"/>
      <c r="F35" s="310"/>
      <c r="G35" s="310"/>
      <c r="H35" s="320">
        <v>0</v>
      </c>
      <c r="I35" s="319"/>
      <c r="J35" s="320">
        <v>22.5</v>
      </c>
      <c r="K35" s="319"/>
      <c r="L35" s="320">
        <v>0</v>
      </c>
      <c r="M35" s="319"/>
      <c r="N35" s="320">
        <v>36.92</v>
      </c>
      <c r="O35" s="319"/>
      <c r="P35" s="320">
        <v>45</v>
      </c>
      <c r="Q35" s="319"/>
      <c r="R35" s="320">
        <v>0</v>
      </c>
      <c r="S35" s="319"/>
      <c r="T35" s="320">
        <v>1263.25</v>
      </c>
      <c r="U35" s="319"/>
      <c r="V35" s="320">
        <v>5.64</v>
      </c>
      <c r="W35" s="319"/>
      <c r="X35" s="320">
        <v>11.27</v>
      </c>
      <c r="Y35" s="319"/>
      <c r="Z35" s="320">
        <v>18</v>
      </c>
      <c r="AA35" s="319"/>
      <c r="AB35" s="320">
        <v>48.03</v>
      </c>
      <c r="AC35" s="319"/>
      <c r="AD35" s="320">
        <v>162.78</v>
      </c>
      <c r="AE35" s="319"/>
      <c r="AF35" s="320">
        <v>1613.39</v>
      </c>
    </row>
    <row r="36" spans="1:32" x14ac:dyDescent="0.25">
      <c r="A36" s="310"/>
      <c r="B36" s="310"/>
      <c r="C36" s="310"/>
      <c r="D36" s="310" t="s">
        <v>68</v>
      </c>
      <c r="E36" s="310"/>
      <c r="F36" s="310"/>
      <c r="G36" s="310"/>
      <c r="H36" s="499">
        <v>41947.040000000001</v>
      </c>
      <c r="I36" s="319"/>
      <c r="J36" s="499">
        <v>43607.9</v>
      </c>
      <c r="K36" s="319"/>
      <c r="L36" s="499">
        <v>24087.87</v>
      </c>
      <c r="M36" s="319"/>
      <c r="N36" s="499">
        <v>56144.71</v>
      </c>
      <c r="O36" s="319"/>
      <c r="P36" s="499">
        <v>102120.46</v>
      </c>
      <c r="Q36" s="319"/>
      <c r="R36" s="499">
        <v>21754.69</v>
      </c>
      <c r="S36" s="319"/>
      <c r="T36" s="499">
        <v>34240.730000000003</v>
      </c>
      <c r="U36" s="319"/>
      <c r="V36" s="499">
        <v>84384.36</v>
      </c>
      <c r="W36" s="319"/>
      <c r="X36" s="499">
        <v>35235.1</v>
      </c>
      <c r="Y36" s="319"/>
      <c r="Z36" s="499">
        <v>28407.64</v>
      </c>
      <c r="AA36" s="319"/>
      <c r="AB36" s="499">
        <v>73983.59</v>
      </c>
      <c r="AC36" s="319"/>
      <c r="AD36" s="499">
        <v>36136.300000000003</v>
      </c>
      <c r="AE36" s="319"/>
      <c r="AF36" s="499">
        <v>582050.39</v>
      </c>
    </row>
    <row r="37" spans="1:32" x14ac:dyDescent="0.25">
      <c r="A37" s="310"/>
      <c r="B37" s="310"/>
      <c r="C37" s="310"/>
      <c r="D37" s="310"/>
      <c r="E37" s="310" t="s">
        <v>179</v>
      </c>
      <c r="F37" s="310"/>
      <c r="G37" s="310"/>
      <c r="H37" s="499"/>
      <c r="I37" s="319"/>
      <c r="J37" s="499"/>
      <c r="K37" s="319"/>
      <c r="L37" s="499"/>
      <c r="M37" s="319"/>
      <c r="N37" s="499"/>
      <c r="O37" s="319"/>
      <c r="P37" s="499"/>
      <c r="Q37" s="319"/>
      <c r="R37" s="499"/>
      <c r="S37" s="319"/>
      <c r="T37" s="499"/>
      <c r="U37" s="319"/>
      <c r="V37" s="499"/>
      <c r="W37" s="319"/>
      <c r="X37" s="499"/>
      <c r="Y37" s="319"/>
      <c r="Z37" s="499"/>
      <c r="AA37" s="319"/>
      <c r="AB37" s="499"/>
      <c r="AC37" s="319"/>
      <c r="AD37" s="499"/>
      <c r="AE37" s="319"/>
      <c r="AF37" s="499"/>
    </row>
    <row r="38" spans="1:32" x14ac:dyDescent="0.25">
      <c r="A38" s="310"/>
      <c r="B38" s="310"/>
      <c r="C38" s="310"/>
      <c r="D38" s="310"/>
      <c r="E38" s="310" t="s">
        <v>180</v>
      </c>
      <c r="F38" s="310"/>
      <c r="G38" s="310"/>
      <c r="H38" s="499">
        <v>15833.09</v>
      </c>
      <c r="I38" s="319"/>
      <c r="J38" s="499">
        <v>16539.62</v>
      </c>
      <c r="K38" s="319"/>
      <c r="L38" s="499">
        <v>15494.3</v>
      </c>
      <c r="M38" s="319"/>
      <c r="N38" s="499">
        <v>15200.89</v>
      </c>
      <c r="O38" s="319"/>
      <c r="P38" s="499">
        <v>14713.72</v>
      </c>
      <c r="Q38" s="319"/>
      <c r="R38" s="499">
        <v>13201.79</v>
      </c>
      <c r="S38" s="319"/>
      <c r="T38" s="499">
        <v>15887</v>
      </c>
      <c r="U38" s="319"/>
      <c r="V38" s="499">
        <v>14499.08</v>
      </c>
      <c r="W38" s="319"/>
      <c r="X38" s="499">
        <v>16601.95</v>
      </c>
      <c r="Y38" s="319"/>
      <c r="Z38" s="499">
        <v>18402.14</v>
      </c>
      <c r="AA38" s="319"/>
      <c r="AB38" s="499">
        <v>20185.66</v>
      </c>
      <c r="AC38" s="319"/>
      <c r="AD38" s="499">
        <v>22978.04</v>
      </c>
      <c r="AE38" s="319"/>
      <c r="AF38" s="499">
        <v>199537.28</v>
      </c>
    </row>
    <row r="39" spans="1:32" x14ac:dyDescent="0.25">
      <c r="A39" s="310"/>
      <c r="B39" s="310"/>
      <c r="C39" s="310"/>
      <c r="D39" s="310"/>
      <c r="E39" s="310" t="s">
        <v>181</v>
      </c>
      <c r="F39" s="310"/>
      <c r="G39" s="310"/>
      <c r="H39" s="499">
        <v>1560.75</v>
      </c>
      <c r="I39" s="319"/>
      <c r="J39" s="499">
        <v>1642.13</v>
      </c>
      <c r="K39" s="319"/>
      <c r="L39" s="499">
        <v>1111.25</v>
      </c>
      <c r="M39" s="319"/>
      <c r="N39" s="499">
        <v>1395</v>
      </c>
      <c r="O39" s="319"/>
      <c r="P39" s="499">
        <v>1341.25</v>
      </c>
      <c r="Q39" s="319"/>
      <c r="R39" s="499">
        <v>1357.38</v>
      </c>
      <c r="S39" s="319"/>
      <c r="T39" s="499">
        <v>1785.25</v>
      </c>
      <c r="U39" s="319"/>
      <c r="V39" s="499">
        <v>1612</v>
      </c>
      <c r="W39" s="319"/>
      <c r="X39" s="499">
        <v>898</v>
      </c>
      <c r="Y39" s="319"/>
      <c r="Z39" s="499">
        <v>2250</v>
      </c>
      <c r="AA39" s="319"/>
      <c r="AB39" s="499">
        <v>1928.25</v>
      </c>
      <c r="AC39" s="319"/>
      <c r="AD39" s="499">
        <v>1157.5</v>
      </c>
      <c r="AE39" s="319"/>
      <c r="AF39" s="499">
        <v>18038.759999999998</v>
      </c>
    </row>
    <row r="40" spans="1:32" x14ac:dyDescent="0.25">
      <c r="A40" s="310"/>
      <c r="B40" s="310"/>
      <c r="C40" s="310"/>
      <c r="D40" s="310"/>
      <c r="E40" s="310" t="s">
        <v>182</v>
      </c>
      <c r="F40" s="310"/>
      <c r="G40" s="310"/>
      <c r="H40" s="499">
        <v>356.91</v>
      </c>
      <c r="I40" s="319"/>
      <c r="J40" s="499">
        <v>491.22</v>
      </c>
      <c r="K40" s="319"/>
      <c r="L40" s="499">
        <v>219.27</v>
      </c>
      <c r="M40" s="319"/>
      <c r="N40" s="499">
        <v>543.33000000000004</v>
      </c>
      <c r="O40" s="319"/>
      <c r="P40" s="499">
        <v>1201.22</v>
      </c>
      <c r="Q40" s="319"/>
      <c r="R40" s="499">
        <v>2325.64</v>
      </c>
      <c r="S40" s="319"/>
      <c r="T40" s="499">
        <v>1263.04</v>
      </c>
      <c r="U40" s="319"/>
      <c r="V40" s="499">
        <v>339.37</v>
      </c>
      <c r="W40" s="319"/>
      <c r="X40" s="499">
        <v>553.13</v>
      </c>
      <c r="Y40" s="319"/>
      <c r="Z40" s="499">
        <v>406.22</v>
      </c>
      <c r="AA40" s="319"/>
      <c r="AB40" s="499">
        <v>322.41000000000003</v>
      </c>
      <c r="AC40" s="319"/>
      <c r="AD40" s="499">
        <v>464.34</v>
      </c>
      <c r="AE40" s="319"/>
      <c r="AF40" s="499">
        <v>8486.1</v>
      </c>
    </row>
    <row r="41" spans="1:32" x14ac:dyDescent="0.25">
      <c r="A41" s="310"/>
      <c r="B41" s="310"/>
      <c r="C41" s="310"/>
      <c r="D41" s="310"/>
      <c r="E41" s="310" t="s">
        <v>183</v>
      </c>
      <c r="F41" s="310"/>
      <c r="G41" s="310"/>
      <c r="H41" s="499">
        <v>0</v>
      </c>
      <c r="I41" s="319"/>
      <c r="J41" s="499">
        <v>547.95000000000005</v>
      </c>
      <c r="K41" s="319"/>
      <c r="L41" s="499">
        <v>0</v>
      </c>
      <c r="M41" s="319"/>
      <c r="N41" s="499">
        <v>0</v>
      </c>
      <c r="O41" s="319"/>
      <c r="P41" s="499">
        <v>0</v>
      </c>
      <c r="Q41" s="319"/>
      <c r="R41" s="499">
        <v>0</v>
      </c>
      <c r="S41" s="319"/>
      <c r="T41" s="499">
        <v>806</v>
      </c>
      <c r="U41" s="319"/>
      <c r="V41" s="499">
        <v>265</v>
      </c>
      <c r="W41" s="319"/>
      <c r="X41" s="499">
        <v>238</v>
      </c>
      <c r="Y41" s="319"/>
      <c r="Z41" s="499">
        <v>0</v>
      </c>
      <c r="AA41" s="319"/>
      <c r="AB41" s="499">
        <v>1223</v>
      </c>
      <c r="AC41" s="319"/>
      <c r="AD41" s="499">
        <v>112.5</v>
      </c>
      <c r="AE41" s="319"/>
      <c r="AF41" s="499">
        <v>3192.45</v>
      </c>
    </row>
    <row r="42" spans="1:32" x14ac:dyDescent="0.25">
      <c r="A42" s="310"/>
      <c r="B42" s="310"/>
      <c r="C42" s="310"/>
      <c r="D42" s="310"/>
      <c r="E42" s="310" t="s">
        <v>184</v>
      </c>
      <c r="F42" s="310"/>
      <c r="G42" s="310"/>
      <c r="H42" s="499">
        <v>27.49</v>
      </c>
      <c r="I42" s="319"/>
      <c r="J42" s="499">
        <v>293.75</v>
      </c>
      <c r="K42" s="319"/>
      <c r="L42" s="499">
        <v>228.83</v>
      </c>
      <c r="M42" s="319"/>
      <c r="N42" s="499">
        <v>154.06</v>
      </c>
      <c r="O42" s="319"/>
      <c r="P42" s="499">
        <v>546.91999999999996</v>
      </c>
      <c r="Q42" s="319"/>
      <c r="R42" s="499">
        <v>1646.41</v>
      </c>
      <c r="S42" s="319"/>
      <c r="T42" s="499">
        <v>360.33</v>
      </c>
      <c r="U42" s="319"/>
      <c r="V42" s="499">
        <v>327.04000000000002</v>
      </c>
      <c r="W42" s="319"/>
      <c r="X42" s="499">
        <v>944.59</v>
      </c>
      <c r="Y42" s="319"/>
      <c r="Z42" s="499">
        <v>194.72</v>
      </c>
      <c r="AA42" s="319"/>
      <c r="AB42" s="499">
        <v>497.35</v>
      </c>
      <c r="AC42" s="319"/>
      <c r="AD42" s="499">
        <v>993.57</v>
      </c>
      <c r="AE42" s="319"/>
      <c r="AF42" s="499">
        <v>6215.06</v>
      </c>
    </row>
    <row r="43" spans="1:32" x14ac:dyDescent="0.25">
      <c r="A43" s="310"/>
      <c r="B43" s="310"/>
      <c r="C43" s="310"/>
      <c r="D43" s="310"/>
      <c r="E43" s="310" t="s">
        <v>185</v>
      </c>
      <c r="F43" s="310"/>
      <c r="G43" s="310"/>
      <c r="H43" s="499">
        <v>1034.73</v>
      </c>
      <c r="I43" s="319"/>
      <c r="J43" s="499">
        <v>293.14</v>
      </c>
      <c r="K43" s="319"/>
      <c r="L43" s="499">
        <v>292.45999999999998</v>
      </c>
      <c r="M43" s="319"/>
      <c r="N43" s="499">
        <v>292.81</v>
      </c>
      <c r="O43" s="319"/>
      <c r="P43" s="499">
        <v>291.70999999999998</v>
      </c>
      <c r="Q43" s="319"/>
      <c r="R43" s="499">
        <v>292.32</v>
      </c>
      <c r="S43" s="319"/>
      <c r="T43" s="499">
        <v>372.03</v>
      </c>
      <c r="U43" s="319"/>
      <c r="V43" s="499">
        <v>332.36</v>
      </c>
      <c r="W43" s="319"/>
      <c r="X43" s="499">
        <v>332.4</v>
      </c>
      <c r="Y43" s="319"/>
      <c r="Z43" s="499">
        <v>458.2</v>
      </c>
      <c r="AA43" s="319"/>
      <c r="AB43" s="499">
        <v>333.65</v>
      </c>
      <c r="AC43" s="319"/>
      <c r="AD43" s="499">
        <v>334.93</v>
      </c>
      <c r="AE43" s="319"/>
      <c r="AF43" s="499">
        <v>4660.74</v>
      </c>
    </row>
    <row r="44" spans="1:32" x14ac:dyDescent="0.25">
      <c r="A44" s="310"/>
      <c r="B44" s="310"/>
      <c r="C44" s="310"/>
      <c r="D44" s="310"/>
      <c r="E44" s="310" t="s">
        <v>186</v>
      </c>
      <c r="F44" s="310"/>
      <c r="G44" s="310"/>
      <c r="H44" s="499">
        <v>143.08000000000001</v>
      </c>
      <c r="I44" s="319"/>
      <c r="J44" s="499">
        <v>182.94</v>
      </c>
      <c r="K44" s="319"/>
      <c r="L44" s="499">
        <v>422.17</v>
      </c>
      <c r="M44" s="319"/>
      <c r="N44" s="499">
        <v>109.17</v>
      </c>
      <c r="O44" s="319"/>
      <c r="P44" s="499">
        <v>12.98</v>
      </c>
      <c r="Q44" s="319"/>
      <c r="R44" s="499">
        <v>56.2</v>
      </c>
      <c r="S44" s="319"/>
      <c r="T44" s="499">
        <v>362.91</v>
      </c>
      <c r="U44" s="319"/>
      <c r="V44" s="499">
        <v>51.21</v>
      </c>
      <c r="W44" s="319"/>
      <c r="X44" s="499">
        <v>103.95</v>
      </c>
      <c r="Y44" s="319"/>
      <c r="Z44" s="499">
        <v>62</v>
      </c>
      <c r="AA44" s="319"/>
      <c r="AB44" s="499">
        <v>125.75</v>
      </c>
      <c r="AC44" s="319"/>
      <c r="AD44" s="499">
        <v>293.24</v>
      </c>
      <c r="AE44" s="319"/>
      <c r="AF44" s="499">
        <v>1925.6</v>
      </c>
    </row>
    <row r="45" spans="1:32" x14ac:dyDescent="0.25">
      <c r="A45" s="310"/>
      <c r="B45" s="310"/>
      <c r="C45" s="310"/>
      <c r="D45" s="310"/>
      <c r="E45" s="310" t="s">
        <v>187</v>
      </c>
      <c r="F45" s="310"/>
      <c r="G45" s="310"/>
      <c r="H45" s="499">
        <v>1132.05</v>
      </c>
      <c r="I45" s="319"/>
      <c r="J45" s="499">
        <v>790.68</v>
      </c>
      <c r="K45" s="319"/>
      <c r="L45" s="499">
        <v>1046.71</v>
      </c>
      <c r="M45" s="319"/>
      <c r="N45" s="499">
        <v>1046.71</v>
      </c>
      <c r="O45" s="319"/>
      <c r="P45" s="499">
        <v>1046.71</v>
      </c>
      <c r="Q45" s="319"/>
      <c r="R45" s="499">
        <v>1046.71</v>
      </c>
      <c r="S45" s="319"/>
      <c r="T45" s="499">
        <v>1046.71</v>
      </c>
      <c r="U45" s="319"/>
      <c r="V45" s="499">
        <v>1148.0999999999999</v>
      </c>
      <c r="W45" s="319"/>
      <c r="X45" s="499">
        <v>1148.0999999999999</v>
      </c>
      <c r="Y45" s="319"/>
      <c r="Z45" s="499">
        <v>1201.08</v>
      </c>
      <c r="AA45" s="319"/>
      <c r="AB45" s="499">
        <v>1201.08</v>
      </c>
      <c r="AC45" s="319"/>
      <c r="AD45" s="499">
        <v>1201.08</v>
      </c>
      <c r="AE45" s="319"/>
      <c r="AF45" s="499">
        <v>13055.72</v>
      </c>
    </row>
    <row r="46" spans="1:32" x14ac:dyDescent="0.25">
      <c r="A46" s="310"/>
      <c r="B46" s="310"/>
      <c r="C46" s="310"/>
      <c r="D46" s="310"/>
      <c r="E46" s="310" t="s">
        <v>188</v>
      </c>
      <c r="F46" s="310"/>
      <c r="G46" s="310"/>
      <c r="H46" s="499">
        <v>208.46</v>
      </c>
      <c r="I46" s="319"/>
      <c r="J46" s="499">
        <v>208.46</v>
      </c>
      <c r="K46" s="319"/>
      <c r="L46" s="499">
        <v>208.46</v>
      </c>
      <c r="M46" s="319"/>
      <c r="N46" s="499">
        <v>208.46</v>
      </c>
      <c r="O46" s="319"/>
      <c r="P46" s="499">
        <v>208.46</v>
      </c>
      <c r="Q46" s="319"/>
      <c r="R46" s="499">
        <v>209.37</v>
      </c>
      <c r="S46" s="319"/>
      <c r="T46" s="499">
        <v>283.33</v>
      </c>
      <c r="U46" s="319"/>
      <c r="V46" s="499">
        <v>236.25</v>
      </c>
      <c r="W46" s="319"/>
      <c r="X46" s="499">
        <v>236.25</v>
      </c>
      <c r="Y46" s="319"/>
      <c r="Z46" s="499">
        <v>296.25</v>
      </c>
      <c r="AA46" s="319"/>
      <c r="AB46" s="499">
        <v>296.25</v>
      </c>
      <c r="AC46" s="319"/>
      <c r="AD46" s="499">
        <v>296.25</v>
      </c>
      <c r="AE46" s="319"/>
      <c r="AF46" s="499">
        <v>2896.25</v>
      </c>
    </row>
    <row r="47" spans="1:32" x14ac:dyDescent="0.25">
      <c r="A47" s="310"/>
      <c r="B47" s="310"/>
      <c r="C47" s="310"/>
      <c r="D47" s="310"/>
      <c r="E47" s="310" t="s">
        <v>189</v>
      </c>
      <c r="F47" s="310"/>
      <c r="G47" s="310"/>
      <c r="H47" s="499">
        <v>18.27</v>
      </c>
      <c r="I47" s="319"/>
      <c r="J47" s="499">
        <v>84.68</v>
      </c>
      <c r="K47" s="319"/>
      <c r="L47" s="499">
        <v>0</v>
      </c>
      <c r="M47" s="319"/>
      <c r="N47" s="499">
        <v>1824.03</v>
      </c>
      <c r="O47" s="319"/>
      <c r="P47" s="499">
        <v>96.58</v>
      </c>
      <c r="Q47" s="319"/>
      <c r="R47" s="499">
        <v>247.41</v>
      </c>
      <c r="S47" s="319"/>
      <c r="T47" s="499">
        <v>866.65</v>
      </c>
      <c r="U47" s="319"/>
      <c r="V47" s="499">
        <v>109.17</v>
      </c>
      <c r="W47" s="319"/>
      <c r="X47" s="499">
        <v>0</v>
      </c>
      <c r="Y47" s="319"/>
      <c r="Z47" s="499">
        <v>144.77000000000001</v>
      </c>
      <c r="AA47" s="319"/>
      <c r="AB47" s="499">
        <v>109.02</v>
      </c>
      <c r="AC47" s="319"/>
      <c r="AD47" s="499">
        <v>13.6</v>
      </c>
      <c r="AE47" s="319"/>
      <c r="AF47" s="499">
        <v>3514.18</v>
      </c>
    </row>
    <row r="48" spans="1:32" x14ac:dyDescent="0.25">
      <c r="A48" s="310"/>
      <c r="B48" s="310"/>
      <c r="C48" s="310"/>
      <c r="D48" s="310"/>
      <c r="E48" s="310" t="s">
        <v>190</v>
      </c>
      <c r="F48" s="310"/>
      <c r="G48" s="310"/>
      <c r="H48" s="499">
        <v>3561.35</v>
      </c>
      <c r="I48" s="319"/>
      <c r="J48" s="499">
        <v>842.68</v>
      </c>
      <c r="K48" s="319"/>
      <c r="L48" s="499">
        <v>2591.96</v>
      </c>
      <c r="M48" s="319"/>
      <c r="N48" s="499">
        <v>3504.8</v>
      </c>
      <c r="O48" s="319"/>
      <c r="P48" s="499">
        <v>238.23</v>
      </c>
      <c r="Q48" s="319"/>
      <c r="R48" s="499">
        <v>1257.07</v>
      </c>
      <c r="S48" s="319"/>
      <c r="T48" s="499">
        <v>108894.78</v>
      </c>
      <c r="U48" s="319"/>
      <c r="V48" s="499">
        <v>2430.5300000000002</v>
      </c>
      <c r="W48" s="319"/>
      <c r="X48" s="499">
        <v>3334.06</v>
      </c>
      <c r="Y48" s="319"/>
      <c r="Z48" s="499">
        <v>1107.6099999999999</v>
      </c>
      <c r="AA48" s="319"/>
      <c r="AB48" s="499">
        <v>2741.53</v>
      </c>
      <c r="AC48" s="319"/>
      <c r="AD48" s="499">
        <v>1909.76</v>
      </c>
      <c r="AE48" s="319"/>
      <c r="AF48" s="499">
        <v>132414.35999999999</v>
      </c>
    </row>
    <row r="49" spans="1:32" x14ac:dyDescent="0.25">
      <c r="A49" s="310"/>
      <c r="B49" s="310"/>
      <c r="C49" s="310"/>
      <c r="D49" s="310"/>
      <c r="E49" s="310" t="s">
        <v>191</v>
      </c>
      <c r="F49" s="310"/>
      <c r="G49" s="310"/>
      <c r="H49" s="499">
        <v>0</v>
      </c>
      <c r="I49" s="319"/>
      <c r="J49" s="499">
        <v>0</v>
      </c>
      <c r="K49" s="319"/>
      <c r="L49" s="499">
        <v>0</v>
      </c>
      <c r="M49" s="319"/>
      <c r="N49" s="499">
        <v>0</v>
      </c>
      <c r="O49" s="319"/>
      <c r="P49" s="499">
        <v>0</v>
      </c>
      <c r="Q49" s="319"/>
      <c r="R49" s="499">
        <v>0</v>
      </c>
      <c r="S49" s="319"/>
      <c r="T49" s="499">
        <v>161.85</v>
      </c>
      <c r="U49" s="319"/>
      <c r="V49" s="499">
        <v>0</v>
      </c>
      <c r="W49" s="319"/>
      <c r="X49" s="499">
        <v>0</v>
      </c>
      <c r="Y49" s="319"/>
      <c r="Z49" s="499">
        <v>0</v>
      </c>
      <c r="AA49" s="319"/>
      <c r="AB49" s="499">
        <v>0</v>
      </c>
      <c r="AC49" s="319"/>
      <c r="AD49" s="499">
        <v>201.66</v>
      </c>
      <c r="AE49" s="319"/>
      <c r="AF49" s="499">
        <v>363.51</v>
      </c>
    </row>
    <row r="50" spans="1:32" x14ac:dyDescent="0.25">
      <c r="A50" s="310"/>
      <c r="B50" s="310"/>
      <c r="C50" s="310"/>
      <c r="D50" s="310"/>
      <c r="E50" s="310" t="s">
        <v>192</v>
      </c>
      <c r="F50" s="310"/>
      <c r="G50" s="310"/>
      <c r="H50" s="499">
        <v>0</v>
      </c>
      <c r="I50" s="319"/>
      <c r="J50" s="499">
        <v>0</v>
      </c>
      <c r="K50" s="319"/>
      <c r="L50" s="499">
        <v>0</v>
      </c>
      <c r="M50" s="319"/>
      <c r="N50" s="499">
        <v>0</v>
      </c>
      <c r="O50" s="319"/>
      <c r="P50" s="499">
        <v>0</v>
      </c>
      <c r="Q50" s="319"/>
      <c r="R50" s="499">
        <v>0</v>
      </c>
      <c r="S50" s="319"/>
      <c r="T50" s="499">
        <v>6500</v>
      </c>
      <c r="U50" s="319"/>
      <c r="V50" s="499">
        <v>0</v>
      </c>
      <c r="W50" s="319"/>
      <c r="X50" s="499">
        <v>0</v>
      </c>
      <c r="Y50" s="319"/>
      <c r="Z50" s="499">
        <v>0</v>
      </c>
      <c r="AA50" s="319"/>
      <c r="AB50" s="499">
        <v>0</v>
      </c>
      <c r="AC50" s="319"/>
      <c r="AD50" s="499">
        <v>0</v>
      </c>
      <c r="AE50" s="319"/>
      <c r="AF50" s="499">
        <v>6500</v>
      </c>
    </row>
    <row r="51" spans="1:32" x14ac:dyDescent="0.25">
      <c r="A51" s="310"/>
      <c r="B51" s="310"/>
      <c r="C51" s="310"/>
      <c r="D51" s="310"/>
      <c r="E51" s="310" t="s">
        <v>193</v>
      </c>
      <c r="F51" s="310"/>
      <c r="G51" s="310"/>
      <c r="H51" s="499">
        <v>337.09</v>
      </c>
      <c r="I51" s="319"/>
      <c r="J51" s="499">
        <v>27.15</v>
      </c>
      <c r="K51" s="319"/>
      <c r="L51" s="499">
        <v>6774.92</v>
      </c>
      <c r="M51" s="319"/>
      <c r="N51" s="499">
        <v>272.89999999999998</v>
      </c>
      <c r="O51" s="319"/>
      <c r="P51" s="499">
        <v>272.89999999999998</v>
      </c>
      <c r="Q51" s="319"/>
      <c r="R51" s="499">
        <v>272.89999999999998</v>
      </c>
      <c r="S51" s="319"/>
      <c r="T51" s="499">
        <v>173.41</v>
      </c>
      <c r="U51" s="319"/>
      <c r="V51" s="499">
        <v>272.89999999999998</v>
      </c>
      <c r="W51" s="319"/>
      <c r="X51" s="499">
        <v>272.89999999999998</v>
      </c>
      <c r="Y51" s="319"/>
      <c r="Z51" s="499">
        <v>272.89999999999998</v>
      </c>
      <c r="AA51" s="319"/>
      <c r="AB51" s="499">
        <v>246.9</v>
      </c>
      <c r="AC51" s="319"/>
      <c r="AD51" s="499">
        <v>272.89999999999998</v>
      </c>
      <c r="AE51" s="319"/>
      <c r="AF51" s="499">
        <v>9469.77</v>
      </c>
    </row>
    <row r="52" spans="1:32" x14ac:dyDescent="0.25">
      <c r="A52" s="310"/>
      <c r="B52" s="310"/>
      <c r="C52" s="310"/>
      <c r="D52" s="310"/>
      <c r="E52" s="310" t="s">
        <v>194</v>
      </c>
      <c r="F52" s="310"/>
      <c r="G52" s="310"/>
      <c r="H52" s="499">
        <v>0</v>
      </c>
      <c r="I52" s="319"/>
      <c r="J52" s="499">
        <v>0</v>
      </c>
      <c r="K52" s="319"/>
      <c r="L52" s="499">
        <v>0</v>
      </c>
      <c r="M52" s="319"/>
      <c r="N52" s="499">
        <v>0</v>
      </c>
      <c r="O52" s="319"/>
      <c r="P52" s="499">
        <v>0</v>
      </c>
      <c r="Q52" s="319"/>
      <c r="R52" s="499">
        <v>0</v>
      </c>
      <c r="S52" s="319"/>
      <c r="T52" s="499">
        <v>0</v>
      </c>
      <c r="U52" s="319"/>
      <c r="V52" s="499">
        <v>0</v>
      </c>
      <c r="W52" s="319"/>
      <c r="X52" s="499">
        <v>4640</v>
      </c>
      <c r="Y52" s="319"/>
      <c r="Z52" s="499">
        <v>0</v>
      </c>
      <c r="AA52" s="319"/>
      <c r="AB52" s="499">
        <v>0</v>
      </c>
      <c r="AC52" s="319"/>
      <c r="AD52" s="499">
        <v>0</v>
      </c>
      <c r="AE52" s="319"/>
      <c r="AF52" s="499">
        <v>4640</v>
      </c>
    </row>
    <row r="53" spans="1:32" x14ac:dyDescent="0.25">
      <c r="A53" s="310"/>
      <c r="B53" s="310"/>
      <c r="C53" s="310"/>
      <c r="D53" s="310"/>
      <c r="E53" s="310" t="s">
        <v>195</v>
      </c>
      <c r="F53" s="310"/>
      <c r="G53" s="310"/>
      <c r="H53" s="499">
        <v>1597.46</v>
      </c>
      <c r="I53" s="319"/>
      <c r="J53" s="499">
        <v>861.25</v>
      </c>
      <c r="K53" s="319"/>
      <c r="L53" s="499">
        <v>695.72</v>
      </c>
      <c r="M53" s="319"/>
      <c r="N53" s="499">
        <v>1576.22</v>
      </c>
      <c r="O53" s="319"/>
      <c r="P53" s="499">
        <v>982.52</v>
      </c>
      <c r="Q53" s="319"/>
      <c r="R53" s="499">
        <v>10897.14</v>
      </c>
      <c r="S53" s="319"/>
      <c r="T53" s="499">
        <v>3498.27</v>
      </c>
      <c r="U53" s="319"/>
      <c r="V53" s="499">
        <v>1216.5999999999999</v>
      </c>
      <c r="W53" s="319"/>
      <c r="X53" s="499">
        <v>1021.61</v>
      </c>
      <c r="Y53" s="319"/>
      <c r="Z53" s="499">
        <v>1011</v>
      </c>
      <c r="AA53" s="319"/>
      <c r="AB53" s="499">
        <v>2831.99</v>
      </c>
      <c r="AC53" s="319"/>
      <c r="AD53" s="499">
        <v>1549.55</v>
      </c>
      <c r="AE53" s="319"/>
      <c r="AF53" s="499">
        <v>27739.33</v>
      </c>
    </row>
    <row r="54" spans="1:32" ht="15.75" thickBot="1" x14ac:dyDescent="0.3">
      <c r="A54" s="310"/>
      <c r="B54" s="310"/>
      <c r="C54" s="310"/>
      <c r="D54" s="310"/>
      <c r="E54" s="310" t="s">
        <v>381</v>
      </c>
      <c r="F54" s="310"/>
      <c r="G54" s="310"/>
      <c r="H54" s="497">
        <v>1187.0899999999999</v>
      </c>
      <c r="I54" s="319"/>
      <c r="J54" s="497">
        <v>1258.45</v>
      </c>
      <c r="K54" s="319"/>
      <c r="L54" s="497">
        <v>5181.45</v>
      </c>
      <c r="M54" s="319"/>
      <c r="N54" s="497">
        <v>1573.74</v>
      </c>
      <c r="O54" s="319"/>
      <c r="P54" s="497">
        <v>2404.69</v>
      </c>
      <c r="Q54" s="319"/>
      <c r="R54" s="497">
        <v>1999.86</v>
      </c>
      <c r="S54" s="319"/>
      <c r="T54" s="497">
        <v>7647.45</v>
      </c>
      <c r="U54" s="319"/>
      <c r="V54" s="497">
        <v>7924.77</v>
      </c>
      <c r="W54" s="319"/>
      <c r="X54" s="497">
        <v>7551.13</v>
      </c>
      <c r="Y54" s="319"/>
      <c r="Z54" s="497">
        <v>6741.14</v>
      </c>
      <c r="AA54" s="319"/>
      <c r="AB54" s="497">
        <v>11243.67</v>
      </c>
      <c r="AC54" s="319"/>
      <c r="AD54" s="497">
        <v>9492.1200000000008</v>
      </c>
      <c r="AE54" s="319"/>
      <c r="AF54" s="497">
        <v>64205.56</v>
      </c>
    </row>
    <row r="55" spans="1:32" ht="15.75" thickBot="1" x14ac:dyDescent="0.3">
      <c r="A55" s="310"/>
      <c r="B55" s="310"/>
      <c r="C55" s="310"/>
      <c r="D55" s="310" t="s">
        <v>116</v>
      </c>
      <c r="E55" s="310"/>
      <c r="F55" s="310"/>
      <c r="G55" s="310"/>
      <c r="H55" s="321">
        <v>26997.82</v>
      </c>
      <c r="I55" s="319"/>
      <c r="J55" s="321">
        <v>24064.1</v>
      </c>
      <c r="K55" s="319"/>
      <c r="L55" s="321">
        <v>34267.5</v>
      </c>
      <c r="M55" s="319"/>
      <c r="N55" s="321">
        <v>27702.12</v>
      </c>
      <c r="O55" s="319"/>
      <c r="P55" s="321">
        <v>23357.89</v>
      </c>
      <c r="Q55" s="319"/>
      <c r="R55" s="321">
        <v>34810.199999999997</v>
      </c>
      <c r="S55" s="319"/>
      <c r="T55" s="321">
        <v>149909.01</v>
      </c>
      <c r="U55" s="319"/>
      <c r="V55" s="321">
        <v>30764.38</v>
      </c>
      <c r="W55" s="319"/>
      <c r="X55" s="321">
        <v>37876.07</v>
      </c>
      <c r="Y55" s="319"/>
      <c r="Z55" s="321">
        <v>32548.03</v>
      </c>
      <c r="AA55" s="319"/>
      <c r="AB55" s="321">
        <v>43286.51</v>
      </c>
      <c r="AC55" s="319"/>
      <c r="AD55" s="321">
        <v>41271.040000000001</v>
      </c>
      <c r="AE55" s="319"/>
      <c r="AF55" s="321">
        <v>506854.67</v>
      </c>
    </row>
    <row r="56" spans="1:32" x14ac:dyDescent="0.25">
      <c r="B56" s="325" t="s">
        <v>196</v>
      </c>
      <c r="H56" s="499">
        <v>14949.22</v>
      </c>
      <c r="I56" s="319"/>
      <c r="J56" s="499">
        <v>19543.8</v>
      </c>
      <c r="K56" s="319"/>
      <c r="L56" s="499">
        <v>-10179.629999999999</v>
      </c>
      <c r="M56" s="319"/>
      <c r="N56" s="499">
        <v>28442.59</v>
      </c>
      <c r="O56" s="319"/>
      <c r="P56" s="499">
        <v>78762.570000000007</v>
      </c>
      <c r="Q56" s="319"/>
      <c r="R56" s="499">
        <v>-13055.51</v>
      </c>
      <c r="S56" s="319"/>
      <c r="T56" s="499">
        <v>-115668.28</v>
      </c>
      <c r="U56" s="319"/>
      <c r="V56" s="499">
        <v>53619.98</v>
      </c>
      <c r="W56" s="319"/>
      <c r="X56" s="499">
        <v>-2640.97</v>
      </c>
      <c r="Y56" s="319"/>
      <c r="Z56" s="499">
        <v>-4140.3900000000003</v>
      </c>
      <c r="AA56" s="319"/>
      <c r="AB56" s="499">
        <v>30697.08</v>
      </c>
      <c r="AC56" s="319"/>
      <c r="AD56" s="499">
        <v>-5134.74</v>
      </c>
      <c r="AE56" s="319"/>
      <c r="AF56" s="499">
        <v>75195.72</v>
      </c>
    </row>
    <row r="57" spans="1:32" ht="15.75" thickBot="1" x14ac:dyDescent="0.3">
      <c r="B57" s="325" t="s">
        <v>424</v>
      </c>
      <c r="H57" s="497">
        <v>0</v>
      </c>
      <c r="I57" s="319"/>
      <c r="J57" s="497">
        <v>0</v>
      </c>
      <c r="K57" s="319"/>
      <c r="L57" s="497">
        <v>0</v>
      </c>
      <c r="M57" s="319"/>
      <c r="N57" s="497">
        <v>0</v>
      </c>
      <c r="O57" s="319"/>
      <c r="P57" s="497">
        <v>0</v>
      </c>
      <c r="Q57" s="319"/>
      <c r="R57" s="497">
        <v>0</v>
      </c>
      <c r="S57" s="319"/>
      <c r="T57" s="497">
        <v>-15733.62</v>
      </c>
      <c r="U57" s="319"/>
      <c r="V57" s="497">
        <v>0</v>
      </c>
      <c r="W57" s="319"/>
      <c r="X57" s="497">
        <v>0</v>
      </c>
      <c r="Y57" s="319"/>
      <c r="Z57" s="497">
        <v>0</v>
      </c>
      <c r="AA57" s="319"/>
      <c r="AB57" s="497">
        <v>0</v>
      </c>
      <c r="AC57" s="319"/>
      <c r="AD57" s="497">
        <v>0</v>
      </c>
      <c r="AE57" s="319"/>
      <c r="AF57" s="497">
        <v>-15733.62</v>
      </c>
    </row>
    <row r="58" spans="1:32" ht="15.75" thickBot="1" x14ac:dyDescent="0.3">
      <c r="A58" s="325" t="s">
        <v>197</v>
      </c>
      <c r="H58" s="323">
        <v>14949.22</v>
      </c>
      <c r="I58" s="531"/>
      <c r="J58" s="323">
        <v>19543.8</v>
      </c>
      <c r="K58" s="531"/>
      <c r="L58" s="323">
        <v>-10179.629999999999</v>
      </c>
      <c r="M58" s="531"/>
      <c r="N58" s="323">
        <v>28442.59</v>
      </c>
      <c r="O58" s="531"/>
      <c r="P58" s="323">
        <v>78762.570000000007</v>
      </c>
      <c r="Q58" s="531"/>
      <c r="R58" s="323">
        <v>-13055.51</v>
      </c>
      <c r="S58" s="531"/>
      <c r="T58" s="323">
        <v>-131401.9</v>
      </c>
      <c r="U58" s="531"/>
      <c r="V58" s="323">
        <v>53619.98</v>
      </c>
      <c r="W58" s="531"/>
      <c r="X58" s="323">
        <v>-2640.97</v>
      </c>
      <c r="Y58" s="531"/>
      <c r="Z58" s="323">
        <v>-4140.3900000000003</v>
      </c>
      <c r="AA58" s="531"/>
      <c r="AB58" s="323">
        <v>30697.08</v>
      </c>
      <c r="AC58" s="531"/>
      <c r="AD58" s="323">
        <v>-5134.74</v>
      </c>
      <c r="AE58" s="531"/>
      <c r="AF58" s="323">
        <v>59462.1</v>
      </c>
    </row>
    <row r="59" spans="1:32" ht="15.75" thickTop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</sheetData>
  <pageMargins left="0.2" right="0.2" top="0.75" bottom="0.25" header="0.1" footer="0.3"/>
  <pageSetup scale="84" orientation="portrait" r:id="rId1"/>
  <headerFooter>
    <oddHeader>&amp;L&amp;"Arial,Bold"&amp;8 2:43 PM
 03/02/19
 Accrual Basis&amp;C&amp;"Arial,Bold"&amp;12 League of Women Voters of California
&amp;14 Statement of Activities
&amp;10 February 2018 through January 2019</oddHeader>
    <oddFooter>&amp;R&amp;"Arial,Bold"&amp;8 Page &amp;P of &amp;N</oddFooter>
  </headerFooter>
  <colBreaks count="1" manualBreakCount="1">
    <brk id="19" max="1048575" man="1"/>
  </colBreaks>
  <drawing r:id="rId2"/>
  <legacyDrawing r:id="rId3"/>
  <controls>
    <mc:AlternateContent xmlns:mc="http://schemas.openxmlformats.org/markup-compatibility/2006">
      <mc:Choice Requires="x14">
        <control shapeId="5017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0177" r:id="rId4" name="FILTER"/>
      </mc:Fallback>
    </mc:AlternateContent>
    <mc:AlternateContent xmlns:mc="http://schemas.openxmlformats.org/markup-compatibility/2006">
      <mc:Choice Requires="x14">
        <control shapeId="5017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0178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G89"/>
  <sheetViews>
    <sheetView workbookViewId="0">
      <pane xSplit="7" ySplit="1" topLeftCell="AA60" activePane="bottomRight" state="frozenSplit"/>
      <selection pane="topRight" activeCell="H1" sqref="H1"/>
      <selection pane="bottomLeft" activeCell="A2" sqref="A2"/>
      <selection pane="bottomRight" activeCell="AM26" sqref="AM26"/>
    </sheetView>
  </sheetViews>
  <sheetFormatPr defaultRowHeight="15" x14ac:dyDescent="0.25"/>
  <cols>
    <col min="1" max="6" width="3" style="325" customWidth="1"/>
    <col min="7" max="7" width="28.140625" style="325" customWidth="1"/>
    <col min="8" max="8" width="8.7109375" style="326" bestFit="1" customWidth="1"/>
    <col min="9" max="9" width="2.28515625" style="326" customWidth="1"/>
    <col min="10" max="10" width="8.7109375" style="326" bestFit="1" customWidth="1"/>
    <col min="11" max="11" width="2.28515625" style="326" customWidth="1"/>
    <col min="12" max="12" width="8.7109375" style="326" bestFit="1" customWidth="1"/>
    <col min="13" max="13" width="2.28515625" style="326" customWidth="1"/>
    <col min="14" max="14" width="8.7109375" style="326" bestFit="1" customWidth="1"/>
    <col min="15" max="15" width="2.28515625" style="326" customWidth="1"/>
    <col min="16" max="16" width="8.7109375" style="326" bestFit="1" customWidth="1"/>
    <col min="17" max="17" width="2.28515625" style="326" customWidth="1"/>
    <col min="18" max="18" width="8.85546875" style="326" bestFit="1" customWidth="1"/>
    <col min="19" max="19" width="2.28515625" style="326" customWidth="1"/>
    <col min="20" max="20" width="8.7109375" style="326" bestFit="1" customWidth="1"/>
    <col min="21" max="21" width="2.28515625" style="326" customWidth="1"/>
    <col min="22" max="22" width="8.7109375" style="326" bestFit="1" customWidth="1"/>
    <col min="23" max="23" width="2.28515625" style="326" customWidth="1"/>
    <col min="24" max="24" width="8.85546875" style="326" bestFit="1" customWidth="1"/>
    <col min="25" max="25" width="2.28515625" style="326" customWidth="1"/>
    <col min="26" max="26" width="8.7109375" style="326" bestFit="1" customWidth="1"/>
    <col min="27" max="27" width="2.28515625" style="326" customWidth="1"/>
    <col min="28" max="28" width="8.7109375" style="326" bestFit="1" customWidth="1"/>
    <col min="29" max="29" width="2.28515625" style="326" customWidth="1"/>
    <col min="30" max="30" width="8.7109375" style="326" bestFit="1" customWidth="1"/>
    <col min="31" max="33" width="10.140625" bestFit="1" customWidth="1"/>
  </cols>
  <sheetData>
    <row r="1" spans="1:30" s="318" customFormat="1" ht="15.75" thickBot="1" x14ac:dyDescent="0.3">
      <c r="A1" s="493"/>
      <c r="B1" s="493"/>
      <c r="C1" s="493"/>
      <c r="D1" s="493"/>
      <c r="E1" s="493"/>
      <c r="F1" s="493"/>
      <c r="G1" s="493"/>
      <c r="H1" s="355" t="s">
        <v>397</v>
      </c>
      <c r="I1" s="317"/>
      <c r="J1" s="355" t="s">
        <v>401</v>
      </c>
      <c r="K1" s="317"/>
      <c r="L1" s="355" t="s">
        <v>405</v>
      </c>
      <c r="M1" s="317"/>
      <c r="N1" s="355" t="s">
        <v>406</v>
      </c>
      <c r="O1" s="317"/>
      <c r="P1" s="355" t="s">
        <v>407</v>
      </c>
      <c r="Q1" s="317"/>
      <c r="R1" s="355" t="s">
        <v>413</v>
      </c>
      <c r="S1" s="317"/>
      <c r="T1" s="355" t="s">
        <v>417</v>
      </c>
      <c r="U1" s="317"/>
      <c r="V1" s="355" t="s">
        <v>433</v>
      </c>
      <c r="W1" s="317"/>
      <c r="X1" s="355" t="s">
        <v>434</v>
      </c>
      <c r="Y1" s="317"/>
      <c r="Z1" s="355" t="s">
        <v>465</v>
      </c>
      <c r="AA1" s="317"/>
      <c r="AB1" s="355" t="s">
        <v>481</v>
      </c>
      <c r="AC1" s="317"/>
      <c r="AD1" s="355" t="s">
        <v>482</v>
      </c>
    </row>
    <row r="2" spans="1:30" ht="15.75" thickTop="1" x14ac:dyDescent="0.25">
      <c r="A2" s="531" t="s">
        <v>257</v>
      </c>
      <c r="B2" s="531"/>
      <c r="C2" s="531"/>
      <c r="D2" s="531"/>
      <c r="E2" s="531"/>
      <c r="F2" s="531"/>
      <c r="G2" s="531"/>
      <c r="H2" s="499"/>
      <c r="I2" s="319"/>
      <c r="J2" s="499"/>
      <c r="K2" s="319"/>
      <c r="L2" s="499"/>
      <c r="M2" s="319"/>
      <c r="N2" s="499"/>
      <c r="O2" s="319"/>
      <c r="P2" s="499"/>
      <c r="Q2" s="319"/>
      <c r="R2" s="499"/>
      <c r="S2" s="319"/>
      <c r="T2" s="499"/>
      <c r="U2" s="319"/>
      <c r="V2" s="499"/>
      <c r="W2" s="319"/>
      <c r="X2" s="499"/>
      <c r="Y2" s="319"/>
      <c r="Z2" s="499"/>
      <c r="AA2" s="319"/>
      <c r="AB2" s="499"/>
      <c r="AC2" s="319"/>
      <c r="AD2" s="499"/>
    </row>
    <row r="3" spans="1:30" x14ac:dyDescent="0.25">
      <c r="A3" s="531"/>
      <c r="B3" s="531" t="s">
        <v>258</v>
      </c>
      <c r="C3" s="531"/>
      <c r="D3" s="531"/>
      <c r="E3" s="531"/>
      <c r="F3" s="531"/>
      <c r="G3" s="531"/>
      <c r="H3" s="499"/>
      <c r="I3" s="319"/>
      <c r="J3" s="499"/>
      <c r="K3" s="319"/>
      <c r="L3" s="499"/>
      <c r="M3" s="319"/>
      <c r="N3" s="499"/>
      <c r="O3" s="319"/>
      <c r="P3" s="499"/>
      <c r="Q3" s="319"/>
      <c r="R3" s="499"/>
      <c r="S3" s="319"/>
      <c r="T3" s="499"/>
      <c r="U3" s="319"/>
      <c r="V3" s="499"/>
      <c r="W3" s="319"/>
      <c r="X3" s="499"/>
      <c r="Y3" s="319"/>
      <c r="Z3" s="499"/>
      <c r="AA3" s="319"/>
      <c r="AB3" s="499"/>
      <c r="AC3" s="319"/>
      <c r="AD3" s="499"/>
    </row>
    <row r="4" spans="1:30" x14ac:dyDescent="0.25">
      <c r="A4" s="531"/>
      <c r="B4" s="531"/>
      <c r="C4" s="531" t="s">
        <v>259</v>
      </c>
      <c r="D4" s="531"/>
      <c r="E4" s="531"/>
      <c r="F4" s="531"/>
      <c r="G4" s="531"/>
      <c r="H4" s="499"/>
      <c r="I4" s="319"/>
      <c r="J4" s="499"/>
      <c r="K4" s="319"/>
      <c r="L4" s="499"/>
      <c r="M4" s="319"/>
      <c r="N4" s="499"/>
      <c r="O4" s="319"/>
      <c r="P4" s="499"/>
      <c r="Q4" s="319"/>
      <c r="R4" s="499"/>
      <c r="S4" s="319"/>
      <c r="T4" s="499"/>
      <c r="U4" s="319"/>
      <c r="V4" s="499"/>
      <c r="W4" s="319"/>
      <c r="X4" s="499"/>
      <c r="Y4" s="319"/>
      <c r="Z4" s="499"/>
      <c r="AA4" s="319"/>
      <c r="AB4" s="499"/>
      <c r="AC4" s="319"/>
      <c r="AD4" s="499"/>
    </row>
    <row r="5" spans="1:30" x14ac:dyDescent="0.25">
      <c r="A5" s="531"/>
      <c r="B5" s="531"/>
      <c r="C5" s="531"/>
      <c r="D5" s="531" t="s">
        <v>260</v>
      </c>
      <c r="E5" s="531"/>
      <c r="F5" s="531"/>
      <c r="G5" s="531"/>
      <c r="H5" s="499"/>
      <c r="I5" s="319"/>
      <c r="J5" s="499"/>
      <c r="K5" s="319"/>
      <c r="L5" s="499"/>
      <c r="M5" s="319"/>
      <c r="N5" s="499"/>
      <c r="O5" s="319"/>
      <c r="P5" s="499"/>
      <c r="Q5" s="319"/>
      <c r="R5" s="499"/>
      <c r="S5" s="319"/>
      <c r="T5" s="499"/>
      <c r="U5" s="319"/>
      <c r="V5" s="499"/>
      <c r="W5" s="319"/>
      <c r="X5" s="499"/>
      <c r="Y5" s="319"/>
      <c r="Z5" s="499"/>
      <c r="AA5" s="319"/>
      <c r="AB5" s="499"/>
      <c r="AC5" s="319"/>
      <c r="AD5" s="499"/>
    </row>
    <row r="6" spans="1:30" x14ac:dyDescent="0.25">
      <c r="A6" s="531"/>
      <c r="B6" s="531"/>
      <c r="C6" s="531"/>
      <c r="D6" s="531"/>
      <c r="E6" s="531" t="s">
        <v>261</v>
      </c>
      <c r="F6" s="531"/>
      <c r="G6" s="531"/>
      <c r="H6" s="499">
        <v>154754.54</v>
      </c>
      <c r="I6" s="319"/>
      <c r="J6" s="499">
        <v>139971.39000000001</v>
      </c>
      <c r="K6" s="319"/>
      <c r="L6" s="499">
        <v>106261.03</v>
      </c>
      <c r="M6" s="319"/>
      <c r="N6" s="499">
        <v>181677.74</v>
      </c>
      <c r="O6" s="319"/>
      <c r="P6" s="499">
        <v>211484.9</v>
      </c>
      <c r="Q6" s="319"/>
      <c r="R6" s="499">
        <v>146907.85999999999</v>
      </c>
      <c r="S6" s="319"/>
      <c r="T6" s="499">
        <v>162561.23000000001</v>
      </c>
      <c r="U6" s="319"/>
      <c r="V6" s="499">
        <v>136409.09</v>
      </c>
      <c r="W6" s="319"/>
      <c r="X6" s="499">
        <v>114770.85</v>
      </c>
      <c r="Y6" s="319"/>
      <c r="Z6" s="499">
        <v>74623.600000000006</v>
      </c>
      <c r="AA6" s="319"/>
      <c r="AB6" s="499">
        <v>145941.35</v>
      </c>
      <c r="AC6" s="319"/>
      <c r="AD6" s="499">
        <v>119138.66</v>
      </c>
    </row>
    <row r="7" spans="1:30" x14ac:dyDescent="0.25">
      <c r="A7" s="531"/>
      <c r="B7" s="531"/>
      <c r="C7" s="531"/>
      <c r="D7" s="531"/>
      <c r="E7" s="531" t="s">
        <v>262</v>
      </c>
      <c r="F7" s="531"/>
      <c r="G7" s="531"/>
      <c r="H7" s="499">
        <v>15995.85</v>
      </c>
      <c r="I7" s="319"/>
      <c r="J7" s="499">
        <v>15999.25</v>
      </c>
      <c r="K7" s="319"/>
      <c r="L7" s="499">
        <v>15999.25</v>
      </c>
      <c r="M7" s="319"/>
      <c r="N7" s="499">
        <v>16005.72</v>
      </c>
      <c r="O7" s="319"/>
      <c r="P7" s="499">
        <v>16009.01</v>
      </c>
      <c r="Q7" s="319"/>
      <c r="R7" s="499">
        <v>16009.01</v>
      </c>
      <c r="S7" s="319"/>
      <c r="T7" s="499">
        <v>0.33</v>
      </c>
      <c r="U7" s="319"/>
      <c r="V7" s="499">
        <v>0.33</v>
      </c>
      <c r="W7" s="319"/>
      <c r="X7" s="499">
        <v>0.33</v>
      </c>
      <c r="Y7" s="319"/>
      <c r="Z7" s="499">
        <v>0.33</v>
      </c>
      <c r="AA7" s="319"/>
      <c r="AB7" s="499">
        <v>0.33</v>
      </c>
      <c r="AC7" s="319"/>
      <c r="AD7" s="499">
        <v>0.33</v>
      </c>
    </row>
    <row r="8" spans="1:30" x14ac:dyDescent="0.25">
      <c r="A8" s="531"/>
      <c r="B8" s="531"/>
      <c r="C8" s="531"/>
      <c r="D8" s="531"/>
      <c r="E8" s="531" t="s">
        <v>409</v>
      </c>
      <c r="F8" s="531"/>
      <c r="G8" s="531"/>
      <c r="H8" s="499"/>
      <c r="I8" s="319"/>
      <c r="J8" s="499"/>
      <c r="K8" s="319"/>
      <c r="L8" s="499"/>
      <c r="M8" s="319"/>
      <c r="N8" s="499"/>
      <c r="O8" s="319"/>
      <c r="P8" s="499"/>
      <c r="Q8" s="319"/>
      <c r="R8" s="499"/>
      <c r="S8" s="319"/>
      <c r="T8" s="499"/>
      <c r="U8" s="319"/>
      <c r="V8" s="499"/>
      <c r="W8" s="319"/>
      <c r="X8" s="499"/>
      <c r="Y8" s="319"/>
      <c r="Z8" s="499"/>
      <c r="AA8" s="319"/>
      <c r="AB8" s="499"/>
      <c r="AC8" s="319"/>
      <c r="AD8" s="499"/>
    </row>
    <row r="9" spans="1:30" x14ac:dyDescent="0.25">
      <c r="A9" s="531"/>
      <c r="B9" s="531"/>
      <c r="C9" s="531"/>
      <c r="D9" s="531"/>
      <c r="E9" s="531"/>
      <c r="F9" s="531" t="s">
        <v>496</v>
      </c>
      <c r="G9" s="531"/>
      <c r="H9" s="499">
        <v>0</v>
      </c>
      <c r="I9" s="319"/>
      <c r="J9" s="499">
        <v>0</v>
      </c>
      <c r="K9" s="319"/>
      <c r="L9" s="499">
        <v>0</v>
      </c>
      <c r="M9" s="319"/>
      <c r="N9" s="499">
        <v>0</v>
      </c>
      <c r="O9" s="319"/>
      <c r="P9" s="499">
        <v>0</v>
      </c>
      <c r="Q9" s="319"/>
      <c r="R9" s="499">
        <v>0</v>
      </c>
      <c r="S9" s="319"/>
      <c r="T9" s="499">
        <v>0</v>
      </c>
      <c r="U9" s="319"/>
      <c r="V9" s="499">
        <v>16011.26</v>
      </c>
      <c r="W9" s="319"/>
      <c r="X9" s="499">
        <v>16041.26</v>
      </c>
      <c r="Y9" s="319"/>
      <c r="Z9" s="499">
        <v>16076.26</v>
      </c>
      <c r="AA9" s="319"/>
      <c r="AB9" s="499">
        <v>16115.18</v>
      </c>
      <c r="AC9" s="319"/>
      <c r="AD9" s="499">
        <v>16148.08</v>
      </c>
    </row>
    <row r="10" spans="1:30" x14ac:dyDescent="0.25">
      <c r="A10" s="531"/>
      <c r="B10" s="531"/>
      <c r="C10" s="531"/>
      <c r="D10" s="531"/>
      <c r="E10" s="531"/>
      <c r="F10" s="531" t="s">
        <v>497</v>
      </c>
      <c r="G10" s="531"/>
      <c r="H10" s="499">
        <v>0</v>
      </c>
      <c r="I10" s="319"/>
      <c r="J10" s="499">
        <v>0</v>
      </c>
      <c r="K10" s="319"/>
      <c r="L10" s="499">
        <v>0</v>
      </c>
      <c r="M10" s="319"/>
      <c r="N10" s="499">
        <v>0</v>
      </c>
      <c r="O10" s="319"/>
      <c r="P10" s="499">
        <v>0</v>
      </c>
      <c r="Q10" s="319"/>
      <c r="R10" s="499">
        <v>0</v>
      </c>
      <c r="S10" s="319"/>
      <c r="T10" s="499">
        <v>0</v>
      </c>
      <c r="U10" s="319"/>
      <c r="V10" s="499">
        <v>32315.62</v>
      </c>
      <c r="W10" s="319"/>
      <c r="X10" s="499">
        <v>32387.84</v>
      </c>
      <c r="Y10" s="319"/>
      <c r="Z10" s="499">
        <v>32435.09</v>
      </c>
      <c r="AA10" s="319"/>
      <c r="AB10" s="499">
        <v>32498.75</v>
      </c>
      <c r="AC10" s="319"/>
      <c r="AD10" s="499">
        <v>32553.72</v>
      </c>
    </row>
    <row r="11" spans="1:30" ht="15.75" thickBot="1" x14ac:dyDescent="0.3">
      <c r="A11" s="531"/>
      <c r="B11" s="531"/>
      <c r="C11" s="531"/>
      <c r="D11" s="531"/>
      <c r="E11" s="531"/>
      <c r="F11" s="531" t="s">
        <v>488</v>
      </c>
      <c r="G11" s="531"/>
      <c r="H11" s="497">
        <v>0</v>
      </c>
      <c r="I11" s="319"/>
      <c r="J11" s="497">
        <v>0</v>
      </c>
      <c r="K11" s="319"/>
      <c r="L11" s="497">
        <v>0</v>
      </c>
      <c r="M11" s="319"/>
      <c r="N11" s="497">
        <v>32050.97</v>
      </c>
      <c r="O11" s="319"/>
      <c r="P11" s="497">
        <v>32050.97</v>
      </c>
      <c r="Q11" s="319"/>
      <c r="R11" s="497">
        <v>32185.16</v>
      </c>
      <c r="S11" s="319"/>
      <c r="T11" s="497">
        <v>32244.98</v>
      </c>
      <c r="U11" s="319"/>
      <c r="V11" s="497">
        <v>0</v>
      </c>
      <c r="W11" s="319"/>
      <c r="X11" s="497">
        <v>0</v>
      </c>
      <c r="Y11" s="319"/>
      <c r="Z11" s="497">
        <v>0</v>
      </c>
      <c r="AA11" s="319"/>
      <c r="AB11" s="497">
        <v>0</v>
      </c>
      <c r="AC11" s="319"/>
      <c r="AD11" s="497">
        <v>0</v>
      </c>
    </row>
    <row r="12" spans="1:30" ht="15.75" thickBot="1" x14ac:dyDescent="0.3">
      <c r="A12" s="531"/>
      <c r="B12" s="531"/>
      <c r="C12" s="531"/>
      <c r="D12" s="531"/>
      <c r="E12" s="531" t="s">
        <v>489</v>
      </c>
      <c r="F12" s="531"/>
      <c r="G12" s="531"/>
      <c r="H12" s="322">
        <v>0</v>
      </c>
      <c r="I12" s="319"/>
      <c r="J12" s="322">
        <v>0</v>
      </c>
      <c r="K12" s="319"/>
      <c r="L12" s="322">
        <v>0</v>
      </c>
      <c r="M12" s="319"/>
      <c r="N12" s="322">
        <v>32050.97</v>
      </c>
      <c r="O12" s="319"/>
      <c r="P12" s="322">
        <v>32050.97</v>
      </c>
      <c r="Q12" s="319"/>
      <c r="R12" s="322">
        <v>32185.16</v>
      </c>
      <c r="S12" s="319"/>
      <c r="T12" s="322">
        <v>32244.98</v>
      </c>
      <c r="U12" s="319"/>
      <c r="V12" s="322">
        <v>48326.879999999997</v>
      </c>
      <c r="W12" s="319"/>
      <c r="X12" s="322">
        <v>48429.1</v>
      </c>
      <c r="Y12" s="319"/>
      <c r="Z12" s="322">
        <v>48511.35</v>
      </c>
      <c r="AA12" s="319"/>
      <c r="AB12" s="322">
        <v>48613.93</v>
      </c>
      <c r="AC12" s="319"/>
      <c r="AD12" s="322">
        <v>48701.8</v>
      </c>
    </row>
    <row r="13" spans="1:30" ht="15.75" thickBot="1" x14ac:dyDescent="0.3">
      <c r="A13" s="531"/>
      <c r="B13" s="531"/>
      <c r="C13" s="531"/>
      <c r="D13" s="531" t="s">
        <v>263</v>
      </c>
      <c r="E13" s="531"/>
      <c r="F13" s="531"/>
      <c r="G13" s="531"/>
      <c r="H13" s="321">
        <v>170750.39</v>
      </c>
      <c r="I13" s="319"/>
      <c r="J13" s="321">
        <v>155970.64000000001</v>
      </c>
      <c r="K13" s="319"/>
      <c r="L13" s="321">
        <v>122260.28</v>
      </c>
      <c r="M13" s="319"/>
      <c r="N13" s="321">
        <v>229734.43</v>
      </c>
      <c r="O13" s="319"/>
      <c r="P13" s="321">
        <v>259544.88</v>
      </c>
      <c r="Q13" s="319"/>
      <c r="R13" s="321">
        <v>195102.03</v>
      </c>
      <c r="S13" s="319"/>
      <c r="T13" s="321">
        <v>194806.54</v>
      </c>
      <c r="U13" s="319"/>
      <c r="V13" s="321">
        <v>184736.3</v>
      </c>
      <c r="W13" s="319"/>
      <c r="X13" s="321">
        <v>163200.28</v>
      </c>
      <c r="Y13" s="319"/>
      <c r="Z13" s="321">
        <v>123135.28</v>
      </c>
      <c r="AA13" s="319"/>
      <c r="AB13" s="321">
        <v>194555.61</v>
      </c>
      <c r="AC13" s="319"/>
      <c r="AD13" s="321">
        <v>167840.79</v>
      </c>
    </row>
    <row r="14" spans="1:30" x14ac:dyDescent="0.25">
      <c r="A14" s="531"/>
      <c r="B14" s="531"/>
      <c r="C14" s="531" t="s">
        <v>264</v>
      </c>
      <c r="D14" s="531"/>
      <c r="E14" s="531"/>
      <c r="F14" s="531"/>
      <c r="G14" s="531"/>
      <c r="H14" s="499">
        <v>170750.39</v>
      </c>
      <c r="I14" s="319"/>
      <c r="J14" s="499">
        <v>155970.64000000001</v>
      </c>
      <c r="K14" s="319"/>
      <c r="L14" s="499">
        <v>122260.28</v>
      </c>
      <c r="M14" s="319"/>
      <c r="N14" s="499">
        <v>229734.43</v>
      </c>
      <c r="O14" s="319"/>
      <c r="P14" s="499">
        <v>259544.88</v>
      </c>
      <c r="Q14" s="319"/>
      <c r="R14" s="499">
        <v>195102.03</v>
      </c>
      <c r="S14" s="319"/>
      <c r="T14" s="499">
        <v>194806.54</v>
      </c>
      <c r="U14" s="319"/>
      <c r="V14" s="499">
        <v>184736.3</v>
      </c>
      <c r="W14" s="319"/>
      <c r="X14" s="499">
        <v>163200.28</v>
      </c>
      <c r="Y14" s="319"/>
      <c r="Z14" s="499">
        <v>123135.28</v>
      </c>
      <c r="AA14" s="319"/>
      <c r="AB14" s="499">
        <v>194555.61</v>
      </c>
      <c r="AC14" s="319"/>
      <c r="AD14" s="499">
        <v>167840.79</v>
      </c>
    </row>
    <row r="15" spans="1:30" x14ac:dyDescent="0.25">
      <c r="A15" s="531"/>
      <c r="B15" s="531"/>
      <c r="C15" s="531" t="s">
        <v>265</v>
      </c>
      <c r="D15" s="531"/>
      <c r="E15" s="531"/>
      <c r="F15" s="531"/>
      <c r="G15" s="531"/>
      <c r="H15" s="499"/>
      <c r="I15" s="319"/>
      <c r="J15" s="499"/>
      <c r="K15" s="319"/>
      <c r="L15" s="499"/>
      <c r="M15" s="319"/>
      <c r="N15" s="499"/>
      <c r="O15" s="319"/>
      <c r="P15" s="499"/>
      <c r="Q15" s="319"/>
      <c r="R15" s="499"/>
      <c r="S15" s="319"/>
      <c r="T15" s="499"/>
      <c r="U15" s="319"/>
      <c r="V15" s="499"/>
      <c r="W15" s="319"/>
      <c r="X15" s="499"/>
      <c r="Y15" s="319"/>
      <c r="Z15" s="499"/>
      <c r="AA15" s="319"/>
      <c r="AB15" s="499"/>
      <c r="AC15" s="319"/>
      <c r="AD15" s="499"/>
    </row>
    <row r="16" spans="1:30" ht="15.75" thickBot="1" x14ac:dyDescent="0.3">
      <c r="A16" s="531"/>
      <c r="B16" s="531"/>
      <c r="C16" s="531"/>
      <c r="D16" s="531" t="s">
        <v>266</v>
      </c>
      <c r="E16" s="531"/>
      <c r="F16" s="531"/>
      <c r="G16" s="531"/>
      <c r="H16" s="320">
        <v>23846.639999999999</v>
      </c>
      <c r="I16" s="319"/>
      <c r="J16" s="320">
        <v>29480.720000000001</v>
      </c>
      <c r="K16" s="319"/>
      <c r="L16" s="320">
        <v>26037.439999999999</v>
      </c>
      <c r="M16" s="319"/>
      <c r="N16" s="320">
        <v>7590.22</v>
      </c>
      <c r="O16" s="319"/>
      <c r="P16" s="320">
        <v>28417.72</v>
      </c>
      <c r="Q16" s="319"/>
      <c r="R16" s="320">
        <v>9290.2199999999993</v>
      </c>
      <c r="S16" s="319"/>
      <c r="T16" s="320">
        <v>10484.469999999999</v>
      </c>
      <c r="U16" s="319"/>
      <c r="V16" s="320">
        <v>33781.300000000003</v>
      </c>
      <c r="W16" s="319"/>
      <c r="X16" s="320">
        <v>28641.05</v>
      </c>
      <c r="Y16" s="319"/>
      <c r="Z16" s="320">
        <v>28987.16</v>
      </c>
      <c r="AA16" s="319"/>
      <c r="AB16" s="320">
        <v>51353.279999999999</v>
      </c>
      <c r="AC16" s="319"/>
      <c r="AD16" s="320">
        <v>37304.65</v>
      </c>
    </row>
    <row r="17" spans="1:31" x14ac:dyDescent="0.25">
      <c r="A17" s="531"/>
      <c r="B17" s="531"/>
      <c r="C17" s="531" t="s">
        <v>267</v>
      </c>
      <c r="D17" s="531"/>
      <c r="E17" s="531"/>
      <c r="F17" s="531"/>
      <c r="G17" s="531"/>
      <c r="H17" s="499">
        <v>23846.639999999999</v>
      </c>
      <c r="I17" s="319"/>
      <c r="J17" s="499">
        <v>29480.720000000001</v>
      </c>
      <c r="K17" s="319"/>
      <c r="L17" s="499">
        <v>26037.439999999999</v>
      </c>
      <c r="M17" s="319"/>
      <c r="N17" s="499">
        <v>7590.22</v>
      </c>
      <c r="O17" s="319"/>
      <c r="P17" s="499">
        <v>28417.72</v>
      </c>
      <c r="Q17" s="319"/>
      <c r="R17" s="499">
        <v>9290.2199999999993</v>
      </c>
      <c r="S17" s="319"/>
      <c r="T17" s="499">
        <v>10484.469999999999</v>
      </c>
      <c r="U17" s="319"/>
      <c r="V17" s="499">
        <v>33781.300000000003</v>
      </c>
      <c r="W17" s="319"/>
      <c r="X17" s="499">
        <v>28641.05</v>
      </c>
      <c r="Y17" s="319"/>
      <c r="Z17" s="499">
        <v>28987.16</v>
      </c>
      <c r="AA17" s="319"/>
      <c r="AB17" s="499">
        <v>51353.279999999999</v>
      </c>
      <c r="AC17" s="319"/>
      <c r="AD17" s="499">
        <v>37304.65</v>
      </c>
    </row>
    <row r="18" spans="1:31" x14ac:dyDescent="0.25">
      <c r="A18" s="531"/>
      <c r="B18" s="531"/>
      <c r="C18" s="531" t="s">
        <v>268</v>
      </c>
      <c r="D18" s="531"/>
      <c r="E18" s="531"/>
      <c r="F18" s="531"/>
      <c r="G18" s="531"/>
      <c r="H18" s="499"/>
      <c r="I18" s="319"/>
      <c r="J18" s="499"/>
      <c r="K18" s="319"/>
      <c r="L18" s="499"/>
      <c r="M18" s="319"/>
      <c r="N18" s="499"/>
      <c r="O18" s="319"/>
      <c r="P18" s="499"/>
      <c r="Q18" s="319"/>
      <c r="R18" s="499"/>
      <c r="S18" s="319"/>
      <c r="T18" s="499"/>
      <c r="U18" s="319"/>
      <c r="V18" s="499"/>
      <c r="W18" s="319"/>
      <c r="X18" s="499"/>
      <c r="Y18" s="319"/>
      <c r="Z18" s="499"/>
      <c r="AA18" s="319"/>
      <c r="AB18" s="499"/>
      <c r="AC18" s="319"/>
      <c r="AD18" s="499"/>
    </row>
    <row r="19" spans="1:31" x14ac:dyDescent="0.25">
      <c r="A19" s="531"/>
      <c r="B19" s="531"/>
      <c r="C19" s="531"/>
      <c r="D19" s="531" t="s">
        <v>269</v>
      </c>
      <c r="E19" s="531"/>
      <c r="F19" s="531"/>
      <c r="G19" s="531"/>
      <c r="H19" s="499">
        <v>2370.7800000000002</v>
      </c>
      <c r="I19" s="319"/>
      <c r="J19" s="499">
        <v>2348.2800000000002</v>
      </c>
      <c r="K19" s="319"/>
      <c r="L19" s="499">
        <v>2348.2800000000002</v>
      </c>
      <c r="M19" s="319"/>
      <c r="N19" s="499">
        <v>2311.36</v>
      </c>
      <c r="O19" s="319"/>
      <c r="P19" s="499">
        <v>2266.36</v>
      </c>
      <c r="Q19" s="319"/>
      <c r="R19" s="499">
        <v>3184.68</v>
      </c>
      <c r="S19" s="319"/>
      <c r="T19" s="499">
        <v>1598.77</v>
      </c>
      <c r="U19" s="319"/>
      <c r="V19" s="499">
        <v>1818.13</v>
      </c>
      <c r="W19" s="319"/>
      <c r="X19" s="499">
        <v>1806.86</v>
      </c>
      <c r="Y19" s="319"/>
      <c r="Z19" s="499">
        <v>1788.86</v>
      </c>
      <c r="AA19" s="319"/>
      <c r="AB19" s="499">
        <v>3167.98</v>
      </c>
      <c r="AC19" s="319"/>
      <c r="AD19" s="499">
        <v>3030.2</v>
      </c>
    </row>
    <row r="20" spans="1:31" x14ac:dyDescent="0.25">
      <c r="A20" s="531"/>
      <c r="B20" s="531"/>
      <c r="C20" s="531"/>
      <c r="D20" s="531" t="s">
        <v>378</v>
      </c>
      <c r="E20" s="531"/>
      <c r="F20" s="531"/>
      <c r="G20" s="531"/>
      <c r="H20" s="499">
        <v>272.94</v>
      </c>
      <c r="I20" s="319"/>
      <c r="J20" s="499">
        <v>272.94</v>
      </c>
      <c r="K20" s="319"/>
      <c r="L20" s="499">
        <v>272.94</v>
      </c>
      <c r="M20" s="319"/>
      <c r="N20" s="499">
        <v>272.94</v>
      </c>
      <c r="O20" s="319"/>
      <c r="P20" s="499">
        <v>272.94</v>
      </c>
      <c r="Q20" s="319"/>
      <c r="R20" s="499">
        <v>272.94</v>
      </c>
      <c r="S20" s="319"/>
      <c r="T20" s="499">
        <v>900</v>
      </c>
      <c r="U20" s="319"/>
      <c r="V20" s="499">
        <v>900</v>
      </c>
      <c r="W20" s="319"/>
      <c r="X20" s="499">
        <v>0</v>
      </c>
      <c r="Y20" s="319"/>
      <c r="Z20" s="499">
        <v>0</v>
      </c>
      <c r="AA20" s="319"/>
      <c r="AB20" s="499">
        <v>0</v>
      </c>
      <c r="AC20" s="319"/>
      <c r="AD20" s="499">
        <v>0</v>
      </c>
    </row>
    <row r="21" spans="1:31" x14ac:dyDescent="0.25">
      <c r="A21" s="531"/>
      <c r="B21" s="531"/>
      <c r="C21" s="531"/>
      <c r="D21" s="531" t="s">
        <v>379</v>
      </c>
      <c r="E21" s="531"/>
      <c r="F21" s="531"/>
      <c r="G21" s="531"/>
      <c r="H21" s="499">
        <v>0</v>
      </c>
      <c r="I21" s="319"/>
      <c r="J21" s="499">
        <v>0</v>
      </c>
      <c r="K21" s="319"/>
      <c r="L21" s="499">
        <v>0</v>
      </c>
      <c r="M21" s="319"/>
      <c r="N21" s="499">
        <v>0</v>
      </c>
      <c r="O21" s="319"/>
      <c r="P21" s="499">
        <v>0</v>
      </c>
      <c r="Q21" s="319"/>
      <c r="R21" s="499">
        <v>3744</v>
      </c>
      <c r="S21" s="319"/>
      <c r="T21" s="499">
        <v>0</v>
      </c>
      <c r="U21" s="319"/>
      <c r="V21" s="499">
        <v>6477.75</v>
      </c>
      <c r="W21" s="319"/>
      <c r="X21" s="499">
        <v>2138.75</v>
      </c>
      <c r="Y21" s="319"/>
      <c r="Z21" s="499">
        <v>0</v>
      </c>
      <c r="AA21" s="319"/>
      <c r="AB21" s="499">
        <v>4904</v>
      </c>
      <c r="AC21" s="319"/>
      <c r="AD21" s="499">
        <v>0</v>
      </c>
    </row>
    <row r="22" spans="1:31" x14ac:dyDescent="0.25">
      <c r="A22" s="531"/>
      <c r="B22" s="531"/>
      <c r="C22" s="531"/>
      <c r="D22" s="531" t="s">
        <v>270</v>
      </c>
      <c r="E22" s="531"/>
      <c r="F22" s="531"/>
      <c r="G22" s="531"/>
      <c r="H22" s="499"/>
      <c r="I22" s="319"/>
      <c r="J22" s="499"/>
      <c r="K22" s="319"/>
      <c r="L22" s="499"/>
      <c r="M22" s="319"/>
      <c r="N22" s="499"/>
      <c r="O22" s="319"/>
      <c r="P22" s="499"/>
      <c r="Q22" s="319"/>
      <c r="R22" s="499"/>
      <c r="S22" s="319"/>
      <c r="T22" s="499"/>
      <c r="U22" s="319"/>
      <c r="V22" s="499"/>
      <c r="W22" s="319"/>
      <c r="X22" s="499"/>
      <c r="Y22" s="319"/>
      <c r="Z22" s="499"/>
      <c r="AA22" s="319"/>
      <c r="AB22" s="499"/>
      <c r="AC22" s="319"/>
      <c r="AD22" s="499"/>
    </row>
    <row r="23" spans="1:31" x14ac:dyDescent="0.25">
      <c r="A23" s="531"/>
      <c r="B23" s="531"/>
      <c r="C23" s="531"/>
      <c r="D23" s="531"/>
      <c r="E23" s="531" t="s">
        <v>271</v>
      </c>
      <c r="F23" s="531"/>
      <c r="G23" s="531"/>
      <c r="H23" s="499">
        <v>40536.01</v>
      </c>
      <c r="I23" s="319"/>
      <c r="J23" s="499">
        <v>64217.84</v>
      </c>
      <c r="K23" s="319"/>
      <c r="L23" s="499">
        <v>86682.45</v>
      </c>
      <c r="M23" s="319"/>
      <c r="N23" s="499">
        <v>33204.15</v>
      </c>
      <c r="O23" s="319"/>
      <c r="P23" s="499">
        <v>55753.66</v>
      </c>
      <c r="Q23" s="319"/>
      <c r="R23" s="499">
        <v>27839.23</v>
      </c>
      <c r="S23" s="319"/>
      <c r="T23" s="499">
        <v>14674.61</v>
      </c>
      <c r="U23" s="319"/>
      <c r="V23" s="499">
        <v>33225.56</v>
      </c>
      <c r="W23" s="319"/>
      <c r="X23" s="499">
        <v>51029.66</v>
      </c>
      <c r="Y23" s="319"/>
      <c r="Z23" s="499">
        <v>69295.27</v>
      </c>
      <c r="AA23" s="319"/>
      <c r="AB23" s="499">
        <v>12450.05</v>
      </c>
      <c r="AC23" s="319"/>
      <c r="AD23" s="499">
        <v>33872.79</v>
      </c>
      <c r="AE23" s="126"/>
    </row>
    <row r="24" spans="1:31" ht="15.75" thickBot="1" x14ac:dyDescent="0.3">
      <c r="A24" s="531"/>
      <c r="B24" s="531"/>
      <c r="C24" s="531"/>
      <c r="D24" s="531"/>
      <c r="E24" s="531" t="s">
        <v>272</v>
      </c>
      <c r="F24" s="531"/>
      <c r="G24" s="531"/>
      <c r="H24" s="320">
        <v>9000.65</v>
      </c>
      <c r="I24" s="319"/>
      <c r="J24" s="320">
        <v>12269.7</v>
      </c>
      <c r="K24" s="319"/>
      <c r="L24" s="320">
        <v>24210.61</v>
      </c>
      <c r="M24" s="319"/>
      <c r="N24" s="320">
        <v>15444.18</v>
      </c>
      <c r="O24" s="319"/>
      <c r="P24" s="320">
        <v>18987.259999999998</v>
      </c>
      <c r="Q24" s="319"/>
      <c r="R24" s="320">
        <v>21841.52</v>
      </c>
      <c r="S24" s="319"/>
      <c r="T24" s="320">
        <v>15561.66</v>
      </c>
      <c r="U24" s="319"/>
      <c r="V24" s="320">
        <v>26623.439999999999</v>
      </c>
      <c r="W24" s="319"/>
      <c r="X24" s="320">
        <v>37563.910000000003</v>
      </c>
      <c r="Y24" s="319"/>
      <c r="Z24" s="320">
        <v>53971.29</v>
      </c>
      <c r="AA24" s="319"/>
      <c r="AB24" s="320">
        <v>41590.07</v>
      </c>
      <c r="AC24" s="319"/>
      <c r="AD24" s="320">
        <v>46783.44</v>
      </c>
    </row>
    <row r="25" spans="1:31" x14ac:dyDescent="0.25">
      <c r="A25" s="531"/>
      <c r="B25" s="531"/>
      <c r="C25" s="531"/>
      <c r="D25" s="531" t="s">
        <v>273</v>
      </c>
      <c r="E25" s="531"/>
      <c r="F25" s="531"/>
      <c r="G25" s="531"/>
      <c r="H25" s="499">
        <v>49536.66</v>
      </c>
      <c r="I25" s="319"/>
      <c r="J25" s="499">
        <v>76487.539999999994</v>
      </c>
      <c r="K25" s="319"/>
      <c r="L25" s="499">
        <v>110893.06</v>
      </c>
      <c r="M25" s="319"/>
      <c r="N25" s="499">
        <v>48648.33</v>
      </c>
      <c r="O25" s="319"/>
      <c r="P25" s="499">
        <v>74740.92</v>
      </c>
      <c r="Q25" s="319"/>
      <c r="R25" s="499">
        <v>49680.75</v>
      </c>
      <c r="S25" s="319"/>
      <c r="T25" s="499">
        <v>30236.27</v>
      </c>
      <c r="U25" s="319"/>
      <c r="V25" s="499">
        <v>59849</v>
      </c>
      <c r="W25" s="319"/>
      <c r="X25" s="499">
        <v>88593.57</v>
      </c>
      <c r="Y25" s="319"/>
      <c r="Z25" s="499">
        <v>123266.56</v>
      </c>
      <c r="AA25" s="319"/>
      <c r="AB25" s="499">
        <v>54040.12</v>
      </c>
      <c r="AC25" s="319"/>
      <c r="AD25" s="499">
        <v>80656.23</v>
      </c>
    </row>
    <row r="26" spans="1:31" x14ac:dyDescent="0.25">
      <c r="A26" s="531"/>
      <c r="B26" s="531"/>
      <c r="C26" s="531"/>
      <c r="D26" s="531" t="s">
        <v>274</v>
      </c>
      <c r="E26" s="531"/>
      <c r="F26" s="531"/>
      <c r="G26" s="531"/>
      <c r="H26" s="499">
        <v>10131.799999999999</v>
      </c>
      <c r="I26" s="319"/>
      <c r="J26" s="499">
        <v>9038.7999999999993</v>
      </c>
      <c r="K26" s="319"/>
      <c r="L26" s="499">
        <v>5304.28</v>
      </c>
      <c r="M26" s="319"/>
      <c r="N26" s="499">
        <v>4850.46</v>
      </c>
      <c r="O26" s="319"/>
      <c r="P26" s="499">
        <v>4468.18</v>
      </c>
      <c r="Q26" s="319"/>
      <c r="R26" s="499">
        <v>4082.75</v>
      </c>
      <c r="S26" s="319"/>
      <c r="T26" s="499">
        <v>2863.4</v>
      </c>
      <c r="U26" s="319"/>
      <c r="V26" s="499">
        <v>2311.4299999999998</v>
      </c>
      <c r="W26" s="319"/>
      <c r="X26" s="499">
        <v>4792.93</v>
      </c>
      <c r="Y26" s="319"/>
      <c r="Z26" s="499">
        <v>11986.45</v>
      </c>
      <c r="AA26" s="319"/>
      <c r="AB26" s="499">
        <v>11974.34</v>
      </c>
      <c r="AC26" s="319"/>
      <c r="AD26" s="499">
        <v>11481.01</v>
      </c>
    </row>
    <row r="27" spans="1:31" ht="15.75" thickBot="1" x14ac:dyDescent="0.3">
      <c r="A27" s="531"/>
      <c r="B27" s="531"/>
      <c r="C27" s="531"/>
      <c r="D27" s="531" t="s">
        <v>275</v>
      </c>
      <c r="E27" s="531"/>
      <c r="F27" s="531"/>
      <c r="G27" s="531"/>
      <c r="H27" s="497">
        <v>16139.45</v>
      </c>
      <c r="I27" s="319"/>
      <c r="J27" s="497">
        <v>15603.62</v>
      </c>
      <c r="K27" s="319"/>
      <c r="L27" s="497">
        <v>23657.86</v>
      </c>
      <c r="M27" s="319"/>
      <c r="N27" s="497">
        <v>23092.83</v>
      </c>
      <c r="O27" s="319"/>
      <c r="P27" s="497">
        <v>22712.77</v>
      </c>
      <c r="Q27" s="319"/>
      <c r="R27" s="497">
        <v>125848</v>
      </c>
      <c r="S27" s="319"/>
      <c r="T27" s="497">
        <v>19713.990000000002</v>
      </c>
      <c r="U27" s="319"/>
      <c r="V27" s="497">
        <v>19137.41</v>
      </c>
      <c r="W27" s="319"/>
      <c r="X27" s="497">
        <v>19419.29</v>
      </c>
      <c r="Y27" s="319"/>
      <c r="Z27" s="497">
        <v>24127.21</v>
      </c>
      <c r="AA27" s="319"/>
      <c r="AB27" s="497">
        <v>19463.560000000001</v>
      </c>
      <c r="AC27" s="319"/>
      <c r="AD27" s="497">
        <v>18591.47</v>
      </c>
    </row>
    <row r="28" spans="1:31" ht="15.75" thickBot="1" x14ac:dyDescent="0.3">
      <c r="A28" s="531"/>
      <c r="B28" s="531"/>
      <c r="C28" s="531" t="s">
        <v>276</v>
      </c>
      <c r="D28" s="531"/>
      <c r="E28" s="531"/>
      <c r="F28" s="531"/>
      <c r="G28" s="531"/>
      <c r="H28" s="321">
        <v>78451.63</v>
      </c>
      <c r="I28" s="319"/>
      <c r="J28" s="321">
        <v>103751.18</v>
      </c>
      <c r="K28" s="319"/>
      <c r="L28" s="321">
        <v>142476.42000000001</v>
      </c>
      <c r="M28" s="319"/>
      <c r="N28" s="321">
        <v>79175.92</v>
      </c>
      <c r="O28" s="319"/>
      <c r="P28" s="321">
        <v>104461.17</v>
      </c>
      <c r="Q28" s="319"/>
      <c r="R28" s="321">
        <v>186813.12</v>
      </c>
      <c r="S28" s="319"/>
      <c r="T28" s="321">
        <v>55312.43</v>
      </c>
      <c r="U28" s="319"/>
      <c r="V28" s="321">
        <v>90493.72</v>
      </c>
      <c r="W28" s="319"/>
      <c r="X28" s="321">
        <v>116751.4</v>
      </c>
      <c r="Y28" s="319"/>
      <c r="Z28" s="321">
        <v>161169.07999999999</v>
      </c>
      <c r="AA28" s="319"/>
      <c r="AB28" s="321">
        <v>93550</v>
      </c>
      <c r="AC28" s="319"/>
      <c r="AD28" s="321">
        <v>113758.91</v>
      </c>
    </row>
    <row r="29" spans="1:31" x14ac:dyDescent="0.25">
      <c r="A29" s="531"/>
      <c r="B29" s="531" t="s">
        <v>277</v>
      </c>
      <c r="C29" s="531"/>
      <c r="D29" s="531"/>
      <c r="E29" s="531"/>
      <c r="F29" s="531"/>
      <c r="G29" s="531"/>
      <c r="H29" s="499">
        <v>273048.65999999997</v>
      </c>
      <c r="I29" s="319"/>
      <c r="J29" s="499">
        <v>289202.53999999998</v>
      </c>
      <c r="K29" s="319"/>
      <c r="L29" s="499">
        <v>290774.14</v>
      </c>
      <c r="M29" s="319"/>
      <c r="N29" s="499">
        <v>316500.57</v>
      </c>
      <c r="O29" s="319"/>
      <c r="P29" s="499">
        <v>392423.77</v>
      </c>
      <c r="Q29" s="319"/>
      <c r="R29" s="499">
        <v>391205.37</v>
      </c>
      <c r="S29" s="319"/>
      <c r="T29" s="499">
        <v>260603.44</v>
      </c>
      <c r="U29" s="319"/>
      <c r="V29" s="499">
        <v>309011.32</v>
      </c>
      <c r="W29" s="319"/>
      <c r="X29" s="499">
        <v>308592.73</v>
      </c>
      <c r="Y29" s="319"/>
      <c r="Z29" s="499">
        <v>313291.52000000002</v>
      </c>
      <c r="AA29" s="319"/>
      <c r="AB29" s="499">
        <v>339458.89</v>
      </c>
      <c r="AC29" s="319"/>
      <c r="AD29" s="499">
        <v>318904.34999999998</v>
      </c>
    </row>
    <row r="30" spans="1:31" x14ac:dyDescent="0.25">
      <c r="A30" s="531"/>
      <c r="B30" s="531" t="s">
        <v>278</v>
      </c>
      <c r="C30" s="531"/>
      <c r="D30" s="531"/>
      <c r="E30" s="531"/>
      <c r="F30" s="531"/>
      <c r="G30" s="531"/>
      <c r="H30" s="499"/>
      <c r="I30" s="319"/>
      <c r="J30" s="499"/>
      <c r="K30" s="319"/>
      <c r="L30" s="499"/>
      <c r="M30" s="319"/>
      <c r="N30" s="499"/>
      <c r="O30" s="319"/>
      <c r="P30" s="499"/>
      <c r="Q30" s="319"/>
      <c r="R30" s="499"/>
      <c r="S30" s="319"/>
      <c r="T30" s="499"/>
      <c r="U30" s="319"/>
      <c r="V30" s="499"/>
      <c r="W30" s="319"/>
      <c r="X30" s="499"/>
      <c r="Y30" s="319"/>
      <c r="Z30" s="499"/>
      <c r="AA30" s="319"/>
      <c r="AB30" s="499"/>
      <c r="AC30" s="319"/>
      <c r="AD30" s="499"/>
    </row>
    <row r="31" spans="1:31" x14ac:dyDescent="0.25">
      <c r="A31" s="531"/>
      <c r="B31" s="531"/>
      <c r="C31" s="531" t="s">
        <v>279</v>
      </c>
      <c r="D31" s="531"/>
      <c r="E31" s="531"/>
      <c r="F31" s="531"/>
      <c r="G31" s="531"/>
      <c r="H31" s="499">
        <v>6717</v>
      </c>
      <c r="I31" s="319"/>
      <c r="J31" s="499">
        <v>6717</v>
      </c>
      <c r="K31" s="319"/>
      <c r="L31" s="499">
        <v>6717</v>
      </c>
      <c r="M31" s="319"/>
      <c r="N31" s="499">
        <v>6717</v>
      </c>
      <c r="O31" s="319"/>
      <c r="P31" s="499">
        <v>6717</v>
      </c>
      <c r="Q31" s="319"/>
      <c r="R31" s="499">
        <v>6717</v>
      </c>
      <c r="S31" s="319"/>
      <c r="T31" s="499">
        <v>3807</v>
      </c>
      <c r="U31" s="319"/>
      <c r="V31" s="499">
        <v>3807</v>
      </c>
      <c r="W31" s="319"/>
      <c r="X31" s="499">
        <v>3807</v>
      </c>
      <c r="Y31" s="319"/>
      <c r="Z31" s="499">
        <v>3807</v>
      </c>
      <c r="AA31" s="319"/>
      <c r="AB31" s="499">
        <v>3807</v>
      </c>
      <c r="AC31" s="319"/>
      <c r="AD31" s="499">
        <v>3807</v>
      </c>
    </row>
    <row r="32" spans="1:31" x14ac:dyDescent="0.25">
      <c r="A32" s="531"/>
      <c r="B32" s="531"/>
      <c r="C32" s="531" t="s">
        <v>280</v>
      </c>
      <c r="D32" s="531"/>
      <c r="E32" s="531"/>
      <c r="F32" s="531"/>
      <c r="G32" s="531"/>
      <c r="H32" s="499">
        <v>29037.599999999999</v>
      </c>
      <c r="I32" s="319"/>
      <c r="J32" s="499">
        <v>29037.599999999999</v>
      </c>
      <c r="K32" s="319"/>
      <c r="L32" s="499">
        <v>29037.599999999999</v>
      </c>
      <c r="M32" s="319"/>
      <c r="N32" s="499">
        <v>29037.599999999999</v>
      </c>
      <c r="O32" s="319"/>
      <c r="P32" s="499">
        <v>29037.599999999999</v>
      </c>
      <c r="Q32" s="319"/>
      <c r="R32" s="499">
        <v>29037.599999999999</v>
      </c>
      <c r="S32" s="319"/>
      <c r="T32" s="499">
        <v>0</v>
      </c>
      <c r="U32" s="319"/>
      <c r="V32" s="499">
        <v>0</v>
      </c>
      <c r="W32" s="319"/>
      <c r="X32" s="499">
        <v>0</v>
      </c>
      <c r="Y32" s="319"/>
      <c r="Z32" s="499">
        <v>0</v>
      </c>
      <c r="AA32" s="319"/>
      <c r="AB32" s="499">
        <v>0</v>
      </c>
      <c r="AC32" s="319"/>
      <c r="AD32" s="499">
        <v>0</v>
      </c>
    </row>
    <row r="33" spans="1:30" s="324" customFormat="1" ht="12" thickBot="1" x14ac:dyDescent="0.25">
      <c r="A33" s="531"/>
      <c r="B33" s="531"/>
      <c r="C33" s="531" t="s">
        <v>281</v>
      </c>
      <c r="D33" s="531"/>
      <c r="E33" s="531"/>
      <c r="F33" s="531"/>
      <c r="G33" s="531"/>
      <c r="H33" s="320">
        <v>-35754.6</v>
      </c>
      <c r="I33" s="319"/>
      <c r="J33" s="320">
        <v>-35754.6</v>
      </c>
      <c r="K33" s="319"/>
      <c r="L33" s="320">
        <v>-35754.6</v>
      </c>
      <c r="M33" s="319"/>
      <c r="N33" s="320">
        <v>-35754.6</v>
      </c>
      <c r="O33" s="319"/>
      <c r="P33" s="320">
        <v>-35754.6</v>
      </c>
      <c r="Q33" s="319"/>
      <c r="R33" s="320">
        <v>-35754.6</v>
      </c>
      <c r="S33" s="319"/>
      <c r="T33" s="320">
        <v>-3807</v>
      </c>
      <c r="U33" s="319"/>
      <c r="V33" s="320">
        <v>-3807</v>
      </c>
      <c r="W33" s="319"/>
      <c r="X33" s="320">
        <v>-3807</v>
      </c>
      <c r="Y33" s="319"/>
      <c r="Z33" s="320">
        <v>-3807</v>
      </c>
      <c r="AA33" s="319"/>
      <c r="AB33" s="320">
        <v>-3807</v>
      </c>
      <c r="AC33" s="319"/>
      <c r="AD33" s="320">
        <v>-3807</v>
      </c>
    </row>
    <row r="34" spans="1:30" x14ac:dyDescent="0.25">
      <c r="A34" s="531"/>
      <c r="B34" s="531" t="s">
        <v>282</v>
      </c>
      <c r="C34" s="531"/>
      <c r="D34" s="531"/>
      <c r="E34" s="531"/>
      <c r="F34" s="531"/>
      <c r="G34" s="531"/>
      <c r="H34" s="499">
        <v>0</v>
      </c>
      <c r="I34" s="319"/>
      <c r="J34" s="499">
        <v>0</v>
      </c>
      <c r="K34" s="319"/>
      <c r="L34" s="499">
        <v>0</v>
      </c>
      <c r="M34" s="319"/>
      <c r="N34" s="499">
        <v>0</v>
      </c>
      <c r="O34" s="319"/>
      <c r="P34" s="499">
        <v>0</v>
      </c>
      <c r="Q34" s="319"/>
      <c r="R34" s="499">
        <v>0</v>
      </c>
      <c r="S34" s="319"/>
      <c r="T34" s="499">
        <v>0</v>
      </c>
      <c r="U34" s="319"/>
      <c r="V34" s="499">
        <v>0</v>
      </c>
      <c r="W34" s="319"/>
      <c r="X34" s="499">
        <v>0</v>
      </c>
      <c r="Y34" s="319"/>
      <c r="Z34" s="499">
        <v>0</v>
      </c>
      <c r="AA34" s="319"/>
      <c r="AB34" s="499">
        <v>0</v>
      </c>
      <c r="AC34" s="319"/>
      <c r="AD34" s="499">
        <v>0</v>
      </c>
    </row>
    <row r="35" spans="1:30" x14ac:dyDescent="0.25">
      <c r="A35" s="531"/>
      <c r="B35" s="531" t="s">
        <v>283</v>
      </c>
      <c r="C35" s="531"/>
      <c r="D35" s="531"/>
      <c r="E35" s="531"/>
      <c r="F35" s="531"/>
      <c r="G35" s="531"/>
      <c r="H35" s="499"/>
      <c r="I35" s="319"/>
      <c r="J35" s="499"/>
      <c r="K35" s="319"/>
      <c r="L35" s="499"/>
      <c r="M35" s="319"/>
      <c r="N35" s="499"/>
      <c r="O35" s="319"/>
      <c r="P35" s="499"/>
      <c r="Q35" s="319"/>
      <c r="R35" s="499"/>
      <c r="S35" s="319"/>
      <c r="T35" s="499"/>
      <c r="U35" s="319"/>
      <c r="V35" s="499"/>
      <c r="W35" s="319"/>
      <c r="X35" s="499"/>
      <c r="Y35" s="319"/>
      <c r="Z35" s="499"/>
      <c r="AA35" s="319"/>
      <c r="AB35" s="499"/>
      <c r="AC35" s="319"/>
      <c r="AD35" s="499"/>
    </row>
    <row r="36" spans="1:30" ht="15.75" thickBot="1" x14ac:dyDescent="0.3">
      <c r="A36" s="531"/>
      <c r="B36" s="531"/>
      <c r="C36" s="531" t="s">
        <v>284</v>
      </c>
      <c r="D36" s="531"/>
      <c r="E36" s="531"/>
      <c r="F36" s="531"/>
      <c r="G36" s="531"/>
      <c r="H36" s="497">
        <v>2698.25</v>
      </c>
      <c r="I36" s="319"/>
      <c r="J36" s="497">
        <v>2698.25</v>
      </c>
      <c r="K36" s="319"/>
      <c r="L36" s="497">
        <v>2698.25</v>
      </c>
      <c r="M36" s="319"/>
      <c r="N36" s="497">
        <v>2698.25</v>
      </c>
      <c r="O36" s="319"/>
      <c r="P36" s="497">
        <v>2698.25</v>
      </c>
      <c r="Q36" s="319"/>
      <c r="R36" s="497">
        <v>2698.25</v>
      </c>
      <c r="S36" s="319"/>
      <c r="T36" s="497">
        <v>2698.25</v>
      </c>
      <c r="U36" s="319"/>
      <c r="V36" s="497">
        <v>2698.25</v>
      </c>
      <c r="W36" s="319"/>
      <c r="X36" s="497">
        <v>2698.25</v>
      </c>
      <c r="Y36" s="319"/>
      <c r="Z36" s="497">
        <v>2698.25</v>
      </c>
      <c r="AA36" s="319"/>
      <c r="AB36" s="497">
        <v>2698.25</v>
      </c>
      <c r="AC36" s="319"/>
      <c r="AD36" s="497">
        <v>2698.25</v>
      </c>
    </row>
    <row r="37" spans="1:30" ht="15.75" thickBot="1" x14ac:dyDescent="0.3">
      <c r="A37" s="531"/>
      <c r="B37" s="531" t="s">
        <v>285</v>
      </c>
      <c r="C37" s="531"/>
      <c r="D37" s="531"/>
      <c r="E37" s="531"/>
      <c r="F37" s="531"/>
      <c r="G37" s="531"/>
      <c r="H37" s="322">
        <v>2698.25</v>
      </c>
      <c r="I37" s="319"/>
      <c r="J37" s="322">
        <v>2698.25</v>
      </c>
      <c r="K37" s="319"/>
      <c r="L37" s="322">
        <v>2698.25</v>
      </c>
      <c r="M37" s="319"/>
      <c r="N37" s="322">
        <v>2698.25</v>
      </c>
      <c r="O37" s="319"/>
      <c r="P37" s="322">
        <v>2698.25</v>
      </c>
      <c r="Q37" s="319"/>
      <c r="R37" s="322">
        <v>2698.25</v>
      </c>
      <c r="S37" s="319"/>
      <c r="T37" s="322">
        <v>2698.25</v>
      </c>
      <c r="U37" s="319"/>
      <c r="V37" s="322">
        <v>2698.25</v>
      </c>
      <c r="W37" s="319"/>
      <c r="X37" s="322">
        <v>2698.25</v>
      </c>
      <c r="Y37" s="319"/>
      <c r="Z37" s="322">
        <v>2698.25</v>
      </c>
      <c r="AA37" s="319"/>
      <c r="AB37" s="322">
        <v>2698.25</v>
      </c>
      <c r="AC37" s="319"/>
      <c r="AD37" s="322">
        <v>2698.25</v>
      </c>
    </row>
    <row r="38" spans="1:30" ht="15.75" thickBot="1" x14ac:dyDescent="0.3">
      <c r="A38" s="531" t="s">
        <v>286</v>
      </c>
      <c r="B38" s="531"/>
      <c r="C38" s="531"/>
      <c r="D38" s="531"/>
      <c r="E38" s="531"/>
      <c r="F38" s="531"/>
      <c r="G38" s="531"/>
      <c r="H38" s="323">
        <v>275746.90999999997</v>
      </c>
      <c r="I38" s="531"/>
      <c r="J38" s="323">
        <v>291900.78999999998</v>
      </c>
      <c r="K38" s="531"/>
      <c r="L38" s="323">
        <v>293472.39</v>
      </c>
      <c r="M38" s="531"/>
      <c r="N38" s="323">
        <v>319198.82</v>
      </c>
      <c r="O38" s="531"/>
      <c r="P38" s="323">
        <v>395122.02</v>
      </c>
      <c r="Q38" s="531"/>
      <c r="R38" s="323">
        <v>393903.62</v>
      </c>
      <c r="S38" s="531"/>
      <c r="T38" s="323">
        <v>263301.69</v>
      </c>
      <c r="U38" s="531"/>
      <c r="V38" s="323">
        <v>311709.57</v>
      </c>
      <c r="W38" s="531"/>
      <c r="X38" s="323">
        <v>311290.98</v>
      </c>
      <c r="Y38" s="531"/>
      <c r="Z38" s="323">
        <v>315989.77</v>
      </c>
      <c r="AA38" s="531"/>
      <c r="AB38" s="323">
        <v>342157.14</v>
      </c>
      <c r="AC38" s="531"/>
      <c r="AD38" s="323">
        <v>321602.59999999998</v>
      </c>
    </row>
    <row r="39" spans="1:30" ht="15.75" thickTop="1" x14ac:dyDescent="0.25">
      <c r="A39" s="531" t="s">
        <v>287</v>
      </c>
      <c r="B39" s="531"/>
      <c r="C39" s="531"/>
      <c r="D39" s="531"/>
      <c r="E39" s="531"/>
      <c r="F39" s="531"/>
      <c r="G39" s="531"/>
      <c r="H39" s="499"/>
      <c r="I39" s="319"/>
      <c r="J39" s="499"/>
      <c r="K39" s="319"/>
      <c r="L39" s="499"/>
      <c r="M39" s="319"/>
      <c r="N39" s="499"/>
      <c r="O39" s="319"/>
      <c r="P39" s="499"/>
      <c r="Q39" s="319"/>
      <c r="R39" s="499"/>
      <c r="S39" s="319"/>
      <c r="T39" s="499"/>
      <c r="U39" s="319"/>
      <c r="V39" s="499"/>
      <c r="W39" s="319"/>
      <c r="X39" s="499"/>
      <c r="Y39" s="319"/>
      <c r="Z39" s="499"/>
      <c r="AA39" s="319"/>
      <c r="AB39" s="499"/>
      <c r="AC39" s="319"/>
      <c r="AD39" s="499"/>
    </row>
    <row r="40" spans="1:30" x14ac:dyDescent="0.25">
      <c r="A40" s="531"/>
      <c r="B40" s="531" t="s">
        <v>288</v>
      </c>
      <c r="C40" s="531"/>
      <c r="D40" s="531"/>
      <c r="E40" s="531"/>
      <c r="F40" s="531"/>
      <c r="G40" s="531"/>
      <c r="H40" s="499"/>
      <c r="I40" s="319"/>
      <c r="J40" s="499"/>
      <c r="K40" s="319"/>
      <c r="L40" s="499"/>
      <c r="M40" s="319"/>
      <c r="N40" s="499"/>
      <c r="O40" s="319"/>
      <c r="P40" s="499"/>
      <c r="Q40" s="319"/>
      <c r="R40" s="499"/>
      <c r="S40" s="319"/>
      <c r="T40" s="499"/>
      <c r="U40" s="319"/>
      <c r="V40" s="499"/>
      <c r="W40" s="319"/>
      <c r="X40" s="499"/>
      <c r="Y40" s="319"/>
      <c r="Z40" s="499"/>
      <c r="AA40" s="319"/>
      <c r="AB40" s="499"/>
      <c r="AC40" s="319"/>
      <c r="AD40" s="499"/>
    </row>
    <row r="41" spans="1:30" x14ac:dyDescent="0.25">
      <c r="A41" s="531"/>
      <c r="B41" s="531"/>
      <c r="C41" s="531" t="s">
        <v>289</v>
      </c>
      <c r="D41" s="531"/>
      <c r="E41" s="531"/>
      <c r="F41" s="531"/>
      <c r="G41" s="531"/>
      <c r="H41" s="499"/>
      <c r="I41" s="319"/>
      <c r="J41" s="499"/>
      <c r="K41" s="319"/>
      <c r="L41" s="499"/>
      <c r="M41" s="319"/>
      <c r="N41" s="499"/>
      <c r="O41" s="319"/>
      <c r="P41" s="499"/>
      <c r="Q41" s="319"/>
      <c r="R41" s="499"/>
      <c r="S41" s="319"/>
      <c r="T41" s="499"/>
      <c r="U41" s="319"/>
      <c r="V41" s="499"/>
      <c r="W41" s="319"/>
      <c r="X41" s="499"/>
      <c r="Y41" s="319"/>
      <c r="Z41" s="499"/>
      <c r="AA41" s="319"/>
      <c r="AB41" s="499"/>
      <c r="AC41" s="319"/>
      <c r="AD41" s="499"/>
    </row>
    <row r="42" spans="1:30" x14ac:dyDescent="0.25">
      <c r="A42" s="531"/>
      <c r="B42" s="531"/>
      <c r="C42" s="531"/>
      <c r="D42" s="531" t="s">
        <v>290</v>
      </c>
      <c r="E42" s="531"/>
      <c r="F42" s="531"/>
      <c r="G42" s="531"/>
      <c r="H42" s="499"/>
      <c r="I42" s="319"/>
      <c r="J42" s="499"/>
      <c r="K42" s="319"/>
      <c r="L42" s="499"/>
      <c r="M42" s="319"/>
      <c r="N42" s="499"/>
      <c r="O42" s="319"/>
      <c r="P42" s="499"/>
      <c r="Q42" s="319"/>
      <c r="R42" s="499"/>
      <c r="S42" s="319"/>
      <c r="T42" s="499"/>
      <c r="U42" s="319"/>
      <c r="V42" s="499"/>
      <c r="W42" s="319"/>
      <c r="X42" s="499"/>
      <c r="Y42" s="319"/>
      <c r="Z42" s="499"/>
      <c r="AA42" s="319"/>
      <c r="AB42" s="499"/>
      <c r="AC42" s="319"/>
      <c r="AD42" s="499"/>
    </row>
    <row r="43" spans="1:30" ht="15.75" thickBot="1" x14ac:dyDescent="0.3">
      <c r="A43" s="531"/>
      <c r="B43" s="531"/>
      <c r="C43" s="531"/>
      <c r="D43" s="531"/>
      <c r="E43" s="531" t="s">
        <v>291</v>
      </c>
      <c r="F43" s="531"/>
      <c r="G43" s="531"/>
      <c r="H43" s="320">
        <v>-6014.49</v>
      </c>
      <c r="I43" s="319"/>
      <c r="J43" s="320">
        <v>-6296.84</v>
      </c>
      <c r="K43" s="319"/>
      <c r="L43" s="320">
        <v>3964.48</v>
      </c>
      <c r="M43" s="319"/>
      <c r="N43" s="320">
        <v>-1827.72</v>
      </c>
      <c r="O43" s="319"/>
      <c r="P43" s="320">
        <v>-582.01</v>
      </c>
      <c r="Q43" s="319"/>
      <c r="R43" s="320">
        <v>9689.7800000000007</v>
      </c>
      <c r="S43" s="319"/>
      <c r="T43" s="320">
        <v>11289.57</v>
      </c>
      <c r="U43" s="319"/>
      <c r="V43" s="320">
        <v>10555.93</v>
      </c>
      <c r="W43" s="319"/>
      <c r="X43" s="320">
        <v>7044.34</v>
      </c>
      <c r="Y43" s="319"/>
      <c r="Z43" s="320">
        <v>18969.28</v>
      </c>
      <c r="AA43" s="319"/>
      <c r="AB43" s="320">
        <v>11363.59</v>
      </c>
      <c r="AC43" s="319"/>
      <c r="AD43" s="320">
        <v>-3665.46</v>
      </c>
    </row>
    <row r="44" spans="1:30" x14ac:dyDescent="0.25">
      <c r="A44" s="531"/>
      <c r="B44" s="531"/>
      <c r="C44" s="531"/>
      <c r="D44" s="531" t="s">
        <v>292</v>
      </c>
      <c r="E44" s="531"/>
      <c r="F44" s="531"/>
      <c r="G44" s="531"/>
      <c r="H44" s="499">
        <v>-6014.49</v>
      </c>
      <c r="I44" s="319"/>
      <c r="J44" s="499">
        <v>-6296.84</v>
      </c>
      <c r="K44" s="319"/>
      <c r="L44" s="499">
        <v>3964.48</v>
      </c>
      <c r="M44" s="319"/>
      <c r="N44" s="499">
        <v>-1827.72</v>
      </c>
      <c r="O44" s="319"/>
      <c r="P44" s="499">
        <v>-582.01</v>
      </c>
      <c r="Q44" s="319"/>
      <c r="R44" s="499">
        <v>9689.7800000000007</v>
      </c>
      <c r="S44" s="319"/>
      <c r="T44" s="499">
        <v>11289.57</v>
      </c>
      <c r="U44" s="319"/>
      <c r="V44" s="499">
        <v>10555.93</v>
      </c>
      <c r="W44" s="319"/>
      <c r="X44" s="499">
        <v>7044.34</v>
      </c>
      <c r="Y44" s="319"/>
      <c r="Z44" s="499">
        <v>18969.28</v>
      </c>
      <c r="AA44" s="319"/>
      <c r="AB44" s="499">
        <v>11363.59</v>
      </c>
      <c r="AC44" s="319"/>
      <c r="AD44" s="499">
        <v>-3665.46</v>
      </c>
    </row>
    <row r="45" spans="1:30" x14ac:dyDescent="0.25">
      <c r="A45" s="531"/>
      <c r="B45" s="531"/>
      <c r="C45" s="531"/>
      <c r="D45" s="531" t="s">
        <v>293</v>
      </c>
      <c r="E45" s="531"/>
      <c r="F45" s="531"/>
      <c r="G45" s="531"/>
      <c r="H45" s="499"/>
      <c r="I45" s="319"/>
      <c r="J45" s="499"/>
      <c r="K45" s="319"/>
      <c r="L45" s="499"/>
      <c r="M45" s="319"/>
      <c r="N45" s="499"/>
      <c r="O45" s="319"/>
      <c r="P45" s="499"/>
      <c r="Q45" s="319"/>
      <c r="R45" s="499"/>
      <c r="S45" s="319"/>
      <c r="T45" s="499"/>
      <c r="U45" s="319"/>
      <c r="V45" s="499"/>
      <c r="W45" s="319"/>
      <c r="X45" s="499"/>
      <c r="Y45" s="319"/>
      <c r="Z45" s="499"/>
      <c r="AA45" s="319"/>
      <c r="AB45" s="499"/>
      <c r="AC45" s="319"/>
      <c r="AD45" s="499"/>
    </row>
    <row r="46" spans="1:30" x14ac:dyDescent="0.25">
      <c r="A46" s="531"/>
      <c r="B46" s="531"/>
      <c r="C46" s="531"/>
      <c r="D46" s="531"/>
      <c r="E46" s="531" t="s">
        <v>294</v>
      </c>
      <c r="F46" s="531"/>
      <c r="G46" s="531"/>
      <c r="H46" s="499"/>
      <c r="I46" s="319"/>
      <c r="J46" s="499"/>
      <c r="K46" s="319"/>
      <c r="L46" s="499"/>
      <c r="M46" s="319"/>
      <c r="N46" s="499"/>
      <c r="O46" s="319"/>
      <c r="P46" s="499"/>
      <c r="Q46" s="319"/>
      <c r="R46" s="499"/>
      <c r="S46" s="319"/>
      <c r="T46" s="499"/>
      <c r="U46" s="319"/>
      <c r="V46" s="499"/>
      <c r="W46" s="319"/>
      <c r="X46" s="499"/>
      <c r="Y46" s="319"/>
      <c r="Z46" s="499"/>
      <c r="AA46" s="319"/>
      <c r="AB46" s="499"/>
      <c r="AC46" s="319"/>
      <c r="AD46" s="499"/>
    </row>
    <row r="47" spans="1:30" x14ac:dyDescent="0.25">
      <c r="A47" s="531"/>
      <c r="B47" s="531"/>
      <c r="C47" s="531"/>
      <c r="D47" s="531"/>
      <c r="E47" s="531"/>
      <c r="F47" s="531" t="s">
        <v>382</v>
      </c>
      <c r="G47" s="531"/>
      <c r="H47" s="499"/>
      <c r="I47" s="319"/>
      <c r="J47" s="499"/>
      <c r="K47" s="319"/>
      <c r="L47" s="499"/>
      <c r="M47" s="319"/>
      <c r="N47" s="499"/>
      <c r="O47" s="319"/>
      <c r="P47" s="499"/>
      <c r="Q47" s="319"/>
      <c r="R47" s="499"/>
      <c r="S47" s="319"/>
      <c r="T47" s="499"/>
      <c r="U47" s="319"/>
      <c r="V47" s="499"/>
      <c r="W47" s="319"/>
      <c r="X47" s="499"/>
      <c r="Y47" s="319"/>
      <c r="Z47" s="499"/>
      <c r="AA47" s="319"/>
      <c r="AB47" s="499"/>
      <c r="AC47" s="319"/>
      <c r="AD47" s="499"/>
    </row>
    <row r="48" spans="1:30" x14ac:dyDescent="0.25">
      <c r="A48" s="531"/>
      <c r="B48" s="531"/>
      <c r="C48" s="531"/>
      <c r="D48" s="531"/>
      <c r="E48" s="531"/>
      <c r="F48" s="531"/>
      <c r="G48" s="531" t="s">
        <v>498</v>
      </c>
      <c r="H48" s="499">
        <v>0</v>
      </c>
      <c r="I48" s="319"/>
      <c r="J48" s="499">
        <v>0</v>
      </c>
      <c r="K48" s="319"/>
      <c r="L48" s="499">
        <v>0</v>
      </c>
      <c r="M48" s="319"/>
      <c r="N48" s="499">
        <v>0</v>
      </c>
      <c r="O48" s="319"/>
      <c r="P48" s="499">
        <v>0</v>
      </c>
      <c r="Q48" s="319"/>
      <c r="R48" s="499">
        <v>0</v>
      </c>
      <c r="S48" s="319"/>
      <c r="T48" s="499">
        <v>0</v>
      </c>
      <c r="U48" s="319"/>
      <c r="V48" s="499">
        <v>0</v>
      </c>
      <c r="W48" s="319"/>
      <c r="X48" s="499">
        <v>0</v>
      </c>
      <c r="Y48" s="319"/>
      <c r="Z48" s="499">
        <v>0</v>
      </c>
      <c r="AA48" s="319"/>
      <c r="AB48" s="499">
        <v>172.65</v>
      </c>
      <c r="AC48" s="319"/>
      <c r="AD48" s="499">
        <v>0</v>
      </c>
    </row>
    <row r="49" spans="1:30" x14ac:dyDescent="0.25">
      <c r="A49" s="531"/>
      <c r="B49" s="531"/>
      <c r="C49" s="531"/>
      <c r="D49" s="531"/>
      <c r="E49" s="531"/>
      <c r="F49" s="531"/>
      <c r="G49" s="531" t="s">
        <v>383</v>
      </c>
      <c r="H49" s="499">
        <v>47.89</v>
      </c>
      <c r="I49" s="319"/>
      <c r="J49" s="499">
        <v>89.29</v>
      </c>
      <c r="K49" s="319"/>
      <c r="L49" s="499">
        <v>688.99</v>
      </c>
      <c r="M49" s="319"/>
      <c r="N49" s="499">
        <v>17.989999999999998</v>
      </c>
      <c r="O49" s="319"/>
      <c r="P49" s="499">
        <v>532.94000000000005</v>
      </c>
      <c r="Q49" s="319"/>
      <c r="R49" s="499">
        <v>17.989999999999998</v>
      </c>
      <c r="S49" s="319"/>
      <c r="T49" s="499">
        <v>0</v>
      </c>
      <c r="U49" s="319"/>
      <c r="V49" s="499">
        <v>0</v>
      </c>
      <c r="W49" s="319"/>
      <c r="X49" s="499">
        <v>0</v>
      </c>
      <c r="Y49" s="319"/>
      <c r="Z49" s="499">
        <v>0</v>
      </c>
      <c r="AA49" s="319"/>
      <c r="AB49" s="499">
        <v>0</v>
      </c>
      <c r="AC49" s="319"/>
      <c r="AD49" s="499">
        <v>0</v>
      </c>
    </row>
    <row r="50" spans="1:30" x14ac:dyDescent="0.25">
      <c r="A50" s="531"/>
      <c r="B50" s="531"/>
      <c r="C50" s="531"/>
      <c r="D50" s="531"/>
      <c r="E50" s="531"/>
      <c r="F50" s="531"/>
      <c r="G50" s="531" t="s">
        <v>499</v>
      </c>
      <c r="H50" s="499">
        <v>2002.93</v>
      </c>
      <c r="I50" s="319"/>
      <c r="J50" s="499">
        <v>1400.46</v>
      </c>
      <c r="K50" s="319"/>
      <c r="L50" s="499">
        <v>1708.63</v>
      </c>
      <c r="M50" s="319"/>
      <c r="N50" s="499">
        <v>1508.27</v>
      </c>
      <c r="O50" s="319"/>
      <c r="P50" s="499">
        <v>684.17</v>
      </c>
      <c r="Q50" s="319"/>
      <c r="R50" s="499">
        <v>1599.29</v>
      </c>
      <c r="S50" s="319"/>
      <c r="T50" s="499">
        <v>1960.43</v>
      </c>
      <c r="U50" s="319"/>
      <c r="V50" s="499">
        <v>1245.24</v>
      </c>
      <c r="W50" s="319"/>
      <c r="X50" s="499">
        <v>1819.84</v>
      </c>
      <c r="Y50" s="319"/>
      <c r="Z50" s="499">
        <v>1315.39</v>
      </c>
      <c r="AA50" s="319"/>
      <c r="AB50" s="499">
        <v>1084.26</v>
      </c>
      <c r="AC50" s="319"/>
      <c r="AD50" s="499">
        <v>1143.1300000000001</v>
      </c>
    </row>
    <row r="51" spans="1:30" ht="15.75" thickBot="1" x14ac:dyDescent="0.3">
      <c r="A51" s="531"/>
      <c r="B51" s="531"/>
      <c r="C51" s="531"/>
      <c r="D51" s="531"/>
      <c r="E51" s="531"/>
      <c r="F51" s="531"/>
      <c r="G51" s="531" t="s">
        <v>500</v>
      </c>
      <c r="H51" s="497">
        <v>4180.41</v>
      </c>
      <c r="I51" s="319"/>
      <c r="J51" s="497">
        <v>9.99</v>
      </c>
      <c r="K51" s="319"/>
      <c r="L51" s="497">
        <v>233.33</v>
      </c>
      <c r="M51" s="319"/>
      <c r="N51" s="497">
        <v>3438.88</v>
      </c>
      <c r="O51" s="319"/>
      <c r="P51" s="497">
        <v>9.99</v>
      </c>
      <c r="Q51" s="319"/>
      <c r="R51" s="497">
        <v>1538.27</v>
      </c>
      <c r="S51" s="319"/>
      <c r="T51" s="497">
        <v>4979.59</v>
      </c>
      <c r="U51" s="319"/>
      <c r="V51" s="497">
        <v>9.99</v>
      </c>
      <c r="W51" s="319"/>
      <c r="X51" s="497">
        <v>4363.09</v>
      </c>
      <c r="Y51" s="319"/>
      <c r="Z51" s="497">
        <v>706.72</v>
      </c>
      <c r="AA51" s="319"/>
      <c r="AB51" s="497">
        <v>1918.15</v>
      </c>
      <c r="AC51" s="319"/>
      <c r="AD51" s="497">
        <v>1754.84</v>
      </c>
    </row>
    <row r="52" spans="1:30" ht="15.75" thickBot="1" x14ac:dyDescent="0.3">
      <c r="A52" s="531"/>
      <c r="B52" s="531"/>
      <c r="C52" s="531"/>
      <c r="D52" s="531"/>
      <c r="E52" s="531"/>
      <c r="F52" s="531" t="s">
        <v>384</v>
      </c>
      <c r="G52" s="531"/>
      <c r="H52" s="322">
        <v>6231.23</v>
      </c>
      <c r="I52" s="319"/>
      <c r="J52" s="322">
        <v>1499.74</v>
      </c>
      <c r="K52" s="319"/>
      <c r="L52" s="322">
        <v>2630.95</v>
      </c>
      <c r="M52" s="319"/>
      <c r="N52" s="322">
        <v>4965.1400000000003</v>
      </c>
      <c r="O52" s="319"/>
      <c r="P52" s="322">
        <v>1227.0999999999999</v>
      </c>
      <c r="Q52" s="319"/>
      <c r="R52" s="322">
        <v>3155.55</v>
      </c>
      <c r="S52" s="319"/>
      <c r="T52" s="322">
        <v>6940.02</v>
      </c>
      <c r="U52" s="319"/>
      <c r="V52" s="322">
        <v>1255.23</v>
      </c>
      <c r="W52" s="319"/>
      <c r="X52" s="322">
        <v>6182.93</v>
      </c>
      <c r="Y52" s="319"/>
      <c r="Z52" s="322">
        <v>2022.11</v>
      </c>
      <c r="AA52" s="319"/>
      <c r="AB52" s="322">
        <v>3175.06</v>
      </c>
      <c r="AC52" s="319"/>
      <c r="AD52" s="322">
        <v>2897.97</v>
      </c>
    </row>
    <row r="53" spans="1:30" ht="15.75" thickBot="1" x14ac:dyDescent="0.3">
      <c r="A53" s="531"/>
      <c r="B53" s="531"/>
      <c r="C53" s="531"/>
      <c r="D53" s="531"/>
      <c r="E53" s="531" t="s">
        <v>385</v>
      </c>
      <c r="F53" s="531"/>
      <c r="G53" s="531"/>
      <c r="H53" s="321">
        <v>6231.23</v>
      </c>
      <c r="I53" s="319"/>
      <c r="J53" s="321">
        <v>1499.74</v>
      </c>
      <c r="K53" s="319"/>
      <c r="L53" s="321">
        <v>2630.95</v>
      </c>
      <c r="M53" s="319"/>
      <c r="N53" s="321">
        <v>4965.1400000000003</v>
      </c>
      <c r="O53" s="319"/>
      <c r="P53" s="321">
        <v>1227.0999999999999</v>
      </c>
      <c r="Q53" s="319"/>
      <c r="R53" s="321">
        <v>3155.55</v>
      </c>
      <c r="S53" s="319"/>
      <c r="T53" s="321">
        <v>6940.02</v>
      </c>
      <c r="U53" s="319"/>
      <c r="V53" s="321">
        <v>1255.23</v>
      </c>
      <c r="W53" s="319"/>
      <c r="X53" s="321">
        <v>6182.93</v>
      </c>
      <c r="Y53" s="319"/>
      <c r="Z53" s="321">
        <v>2022.11</v>
      </c>
      <c r="AA53" s="319"/>
      <c r="AB53" s="321">
        <v>3175.06</v>
      </c>
      <c r="AC53" s="319"/>
      <c r="AD53" s="321">
        <v>2897.97</v>
      </c>
    </row>
    <row r="54" spans="1:30" s="490" customFormat="1" x14ac:dyDescent="0.25">
      <c r="A54" s="531"/>
      <c r="B54" s="531"/>
      <c r="C54" s="531"/>
      <c r="D54" s="531" t="s">
        <v>295</v>
      </c>
      <c r="E54" s="531"/>
      <c r="F54" s="531"/>
      <c r="G54" s="531"/>
      <c r="H54" s="499">
        <v>6231.23</v>
      </c>
      <c r="I54" s="319"/>
      <c r="J54" s="499">
        <v>1499.74</v>
      </c>
      <c r="K54" s="319"/>
      <c r="L54" s="499">
        <v>2630.95</v>
      </c>
      <c r="M54" s="319"/>
      <c r="N54" s="499">
        <v>4965.1400000000003</v>
      </c>
      <c r="O54" s="319"/>
      <c r="P54" s="499">
        <v>1227.0999999999999</v>
      </c>
      <c r="Q54" s="319"/>
      <c r="R54" s="499">
        <v>3155.55</v>
      </c>
      <c r="S54" s="319"/>
      <c r="T54" s="499">
        <v>6940.02</v>
      </c>
      <c r="U54" s="319"/>
      <c r="V54" s="499">
        <v>1255.23</v>
      </c>
      <c r="W54" s="319"/>
      <c r="X54" s="499">
        <v>6182.93</v>
      </c>
      <c r="Y54" s="319"/>
      <c r="Z54" s="499">
        <v>2022.11</v>
      </c>
      <c r="AA54" s="319"/>
      <c r="AB54" s="499">
        <v>3175.06</v>
      </c>
      <c r="AC54" s="319"/>
      <c r="AD54" s="499">
        <v>2897.97</v>
      </c>
    </row>
    <row r="55" spans="1:30" x14ac:dyDescent="0.25">
      <c r="A55" s="531"/>
      <c r="B55" s="531"/>
      <c r="C55" s="531"/>
      <c r="D55" s="531" t="s">
        <v>296</v>
      </c>
      <c r="E55" s="531"/>
      <c r="F55" s="531"/>
      <c r="G55" s="531"/>
      <c r="H55" s="499"/>
      <c r="I55" s="319"/>
      <c r="J55" s="499"/>
      <c r="K55" s="319"/>
      <c r="L55" s="499"/>
      <c r="M55" s="319"/>
      <c r="N55" s="499"/>
      <c r="O55" s="319"/>
      <c r="P55" s="499"/>
      <c r="Q55" s="319"/>
      <c r="R55" s="499"/>
      <c r="S55" s="319"/>
      <c r="T55" s="499"/>
      <c r="U55" s="319"/>
      <c r="V55" s="499"/>
      <c r="W55" s="319"/>
      <c r="X55" s="499"/>
      <c r="Y55" s="319"/>
      <c r="Z55" s="499"/>
      <c r="AA55" s="319"/>
      <c r="AB55" s="499"/>
      <c r="AC55" s="319"/>
      <c r="AD55" s="499"/>
    </row>
    <row r="56" spans="1:30" x14ac:dyDescent="0.25">
      <c r="A56" s="531"/>
      <c r="B56" s="531"/>
      <c r="C56" s="531"/>
      <c r="D56" s="531"/>
      <c r="E56" s="531" t="s">
        <v>297</v>
      </c>
      <c r="F56" s="531"/>
      <c r="G56" s="531"/>
      <c r="H56" s="499"/>
      <c r="I56" s="319"/>
      <c r="J56" s="499"/>
      <c r="K56" s="319"/>
      <c r="L56" s="499"/>
      <c r="M56" s="319"/>
      <c r="N56" s="499"/>
      <c r="O56" s="319"/>
      <c r="P56" s="499"/>
      <c r="Q56" s="319"/>
      <c r="R56" s="499"/>
      <c r="S56" s="319"/>
      <c r="T56" s="499"/>
      <c r="U56" s="319"/>
      <c r="V56" s="499"/>
      <c r="W56" s="319"/>
      <c r="X56" s="499"/>
      <c r="Y56" s="319"/>
      <c r="Z56" s="499"/>
      <c r="AA56" s="319"/>
      <c r="AB56" s="499"/>
      <c r="AC56" s="319"/>
      <c r="AD56" s="499"/>
    </row>
    <row r="57" spans="1:30" x14ac:dyDescent="0.25">
      <c r="A57" s="531"/>
      <c r="B57" s="531"/>
      <c r="C57" s="531"/>
      <c r="D57" s="531"/>
      <c r="E57" s="531"/>
      <c r="F57" s="531" t="s">
        <v>298</v>
      </c>
      <c r="G57" s="531"/>
      <c r="H57" s="499">
        <v>203.41</v>
      </c>
      <c r="I57" s="319"/>
      <c r="J57" s="499">
        <v>157.68</v>
      </c>
      <c r="K57" s="319"/>
      <c r="L57" s="499">
        <v>257.68</v>
      </c>
      <c r="M57" s="319"/>
      <c r="N57" s="499">
        <v>277.68</v>
      </c>
      <c r="O57" s="319"/>
      <c r="P57" s="499">
        <v>342.68</v>
      </c>
      <c r="Q57" s="319"/>
      <c r="R57" s="499">
        <v>392.68</v>
      </c>
      <c r="S57" s="319"/>
      <c r="T57" s="499">
        <v>706.98</v>
      </c>
      <c r="U57" s="319"/>
      <c r="V57" s="499">
        <v>871.98</v>
      </c>
      <c r="W57" s="319"/>
      <c r="X57" s="499">
        <v>861.98</v>
      </c>
      <c r="Y57" s="319"/>
      <c r="Z57" s="499">
        <v>881.98</v>
      </c>
      <c r="AA57" s="319"/>
      <c r="AB57" s="499">
        <v>1016.98</v>
      </c>
      <c r="AC57" s="319"/>
      <c r="AD57" s="499">
        <v>1011.98</v>
      </c>
    </row>
    <row r="58" spans="1:30" x14ac:dyDescent="0.25">
      <c r="A58" s="531"/>
      <c r="B58" s="531"/>
      <c r="C58" s="531"/>
      <c r="D58" s="531"/>
      <c r="E58" s="531"/>
      <c r="F58" s="531" t="s">
        <v>448</v>
      </c>
      <c r="G58" s="531"/>
      <c r="H58" s="499">
        <v>0</v>
      </c>
      <c r="I58" s="319"/>
      <c r="J58" s="499">
        <v>0</v>
      </c>
      <c r="K58" s="319"/>
      <c r="L58" s="499">
        <v>0</v>
      </c>
      <c r="M58" s="319"/>
      <c r="N58" s="499">
        <v>0</v>
      </c>
      <c r="O58" s="319"/>
      <c r="P58" s="499">
        <v>0</v>
      </c>
      <c r="Q58" s="319"/>
      <c r="R58" s="499">
        <v>0</v>
      </c>
      <c r="S58" s="319"/>
      <c r="T58" s="499">
        <v>265</v>
      </c>
      <c r="U58" s="319"/>
      <c r="V58" s="499">
        <v>330</v>
      </c>
      <c r="W58" s="319"/>
      <c r="X58" s="499">
        <v>430</v>
      </c>
      <c r="Y58" s="319"/>
      <c r="Z58" s="499">
        <v>430</v>
      </c>
      <c r="AA58" s="319"/>
      <c r="AB58" s="499">
        <v>930</v>
      </c>
      <c r="AC58" s="319"/>
      <c r="AD58" s="499">
        <v>930</v>
      </c>
    </row>
    <row r="59" spans="1:30" ht="15.75" thickBot="1" x14ac:dyDescent="0.3">
      <c r="A59" s="531"/>
      <c r="B59" s="531"/>
      <c r="C59" s="531"/>
      <c r="D59" s="531"/>
      <c r="E59" s="531"/>
      <c r="F59" s="531" t="s">
        <v>468</v>
      </c>
      <c r="G59" s="531"/>
      <c r="H59" s="320">
        <v>0</v>
      </c>
      <c r="I59" s="319"/>
      <c r="J59" s="320">
        <v>0</v>
      </c>
      <c r="K59" s="319"/>
      <c r="L59" s="320">
        <v>0</v>
      </c>
      <c r="M59" s="319"/>
      <c r="N59" s="320">
        <v>0</v>
      </c>
      <c r="O59" s="319"/>
      <c r="P59" s="320">
        <v>0</v>
      </c>
      <c r="Q59" s="319"/>
      <c r="R59" s="320">
        <v>0</v>
      </c>
      <c r="S59" s="319"/>
      <c r="T59" s="320">
        <v>0</v>
      </c>
      <c r="U59" s="319"/>
      <c r="V59" s="320">
        <v>0</v>
      </c>
      <c r="W59" s="319"/>
      <c r="X59" s="320">
        <v>0</v>
      </c>
      <c r="Y59" s="319"/>
      <c r="Z59" s="320">
        <v>1065</v>
      </c>
      <c r="AA59" s="319"/>
      <c r="AB59" s="320">
        <v>1105</v>
      </c>
      <c r="AC59" s="319"/>
      <c r="AD59" s="320">
        <v>1285</v>
      </c>
    </row>
    <row r="60" spans="1:30" x14ac:dyDescent="0.25">
      <c r="A60" s="531"/>
      <c r="B60" s="531"/>
      <c r="C60" s="531"/>
      <c r="D60" s="531"/>
      <c r="E60" s="531" t="s">
        <v>299</v>
      </c>
      <c r="F60" s="531"/>
      <c r="G60" s="531"/>
      <c r="H60" s="499">
        <v>203.41</v>
      </c>
      <c r="I60" s="319"/>
      <c r="J60" s="499">
        <v>157.68</v>
      </c>
      <c r="K60" s="319"/>
      <c r="L60" s="499">
        <v>257.68</v>
      </c>
      <c r="M60" s="319"/>
      <c r="N60" s="499">
        <v>277.68</v>
      </c>
      <c r="O60" s="319"/>
      <c r="P60" s="499">
        <v>342.68</v>
      </c>
      <c r="Q60" s="319"/>
      <c r="R60" s="499">
        <v>392.68</v>
      </c>
      <c r="S60" s="319"/>
      <c r="T60" s="499">
        <v>971.98</v>
      </c>
      <c r="U60" s="319"/>
      <c r="V60" s="499">
        <v>1201.98</v>
      </c>
      <c r="W60" s="319"/>
      <c r="X60" s="499">
        <v>1291.98</v>
      </c>
      <c r="Y60" s="319"/>
      <c r="Z60" s="499">
        <v>2376.98</v>
      </c>
      <c r="AA60" s="319"/>
      <c r="AB60" s="499">
        <v>3051.98</v>
      </c>
      <c r="AC60" s="319"/>
      <c r="AD60" s="499">
        <v>3226.98</v>
      </c>
    </row>
    <row r="61" spans="1:30" x14ac:dyDescent="0.25">
      <c r="A61" s="531"/>
      <c r="B61" s="531"/>
      <c r="C61" s="531"/>
      <c r="D61" s="531"/>
      <c r="E61" s="531" t="s">
        <v>300</v>
      </c>
      <c r="F61" s="531"/>
      <c r="G61" s="531"/>
      <c r="H61" s="499"/>
      <c r="I61" s="319"/>
      <c r="J61" s="499"/>
      <c r="K61" s="319"/>
      <c r="L61" s="499"/>
      <c r="M61" s="319"/>
      <c r="N61" s="499"/>
      <c r="O61" s="319"/>
      <c r="P61" s="499"/>
      <c r="Q61" s="319"/>
      <c r="R61" s="499"/>
      <c r="S61" s="319"/>
      <c r="T61" s="499"/>
      <c r="U61" s="319"/>
      <c r="V61" s="499"/>
      <c r="W61" s="319"/>
      <c r="X61" s="499"/>
      <c r="Y61" s="319"/>
      <c r="Z61" s="499"/>
      <c r="AA61" s="319"/>
      <c r="AB61" s="499"/>
      <c r="AC61" s="319"/>
      <c r="AD61" s="499"/>
    </row>
    <row r="62" spans="1:30" x14ac:dyDescent="0.25">
      <c r="A62" s="531"/>
      <c r="B62" s="531"/>
      <c r="C62" s="531"/>
      <c r="D62" s="531"/>
      <c r="E62" s="531"/>
      <c r="F62" s="531" t="s">
        <v>386</v>
      </c>
      <c r="G62" s="531"/>
      <c r="H62" s="499">
        <v>25</v>
      </c>
      <c r="I62" s="319"/>
      <c r="J62" s="499">
        <v>25</v>
      </c>
      <c r="K62" s="319"/>
      <c r="L62" s="499">
        <v>0</v>
      </c>
      <c r="M62" s="319"/>
      <c r="N62" s="499">
        <v>0</v>
      </c>
      <c r="O62" s="319"/>
      <c r="P62" s="499">
        <v>0</v>
      </c>
      <c r="Q62" s="319"/>
      <c r="R62" s="499">
        <v>0</v>
      </c>
      <c r="S62" s="319"/>
      <c r="T62" s="499">
        <v>0</v>
      </c>
      <c r="U62" s="319"/>
      <c r="V62" s="499">
        <v>0</v>
      </c>
      <c r="W62" s="319"/>
      <c r="X62" s="499">
        <v>0</v>
      </c>
      <c r="Y62" s="319"/>
      <c r="Z62" s="499">
        <v>0</v>
      </c>
      <c r="AA62" s="319"/>
      <c r="AB62" s="499">
        <v>0</v>
      </c>
      <c r="AC62" s="319"/>
      <c r="AD62" s="499">
        <v>0</v>
      </c>
    </row>
    <row r="63" spans="1:30" ht="15.75" thickBot="1" x14ac:dyDescent="0.3">
      <c r="A63" s="531"/>
      <c r="B63" s="531"/>
      <c r="C63" s="531"/>
      <c r="D63" s="531"/>
      <c r="E63" s="531"/>
      <c r="F63" s="531" t="s">
        <v>387</v>
      </c>
      <c r="G63" s="531"/>
      <c r="H63" s="320">
        <v>10950.08</v>
      </c>
      <c r="I63" s="319"/>
      <c r="J63" s="320">
        <v>11358.01</v>
      </c>
      <c r="K63" s="319"/>
      <c r="L63" s="320">
        <v>11698.29</v>
      </c>
      <c r="M63" s="319"/>
      <c r="N63" s="320">
        <v>12577.59</v>
      </c>
      <c r="O63" s="319"/>
      <c r="P63" s="320">
        <v>12247.2</v>
      </c>
      <c r="Q63" s="319"/>
      <c r="R63" s="320">
        <v>10577.58</v>
      </c>
      <c r="S63" s="319"/>
      <c r="T63" s="320">
        <v>8140.28</v>
      </c>
      <c r="U63" s="319"/>
      <c r="V63" s="320">
        <v>7678.34</v>
      </c>
      <c r="W63" s="319"/>
      <c r="X63" s="320">
        <v>8809.74</v>
      </c>
      <c r="Y63" s="319"/>
      <c r="Z63" s="320">
        <v>9027.77</v>
      </c>
      <c r="AA63" s="319"/>
      <c r="AB63" s="320">
        <v>9123.02</v>
      </c>
      <c r="AC63" s="319"/>
      <c r="AD63" s="320">
        <v>9967.51</v>
      </c>
    </row>
    <row r="64" spans="1:30" x14ac:dyDescent="0.25">
      <c r="A64" s="531"/>
      <c r="B64" s="531"/>
      <c r="C64" s="531"/>
      <c r="D64" s="531"/>
      <c r="E64" s="531" t="s">
        <v>388</v>
      </c>
      <c r="F64" s="531"/>
      <c r="G64" s="531"/>
      <c r="H64" s="499">
        <v>10975.08</v>
      </c>
      <c r="I64" s="319"/>
      <c r="J64" s="499">
        <v>11383.01</v>
      </c>
      <c r="K64" s="319"/>
      <c r="L64" s="499">
        <v>11698.29</v>
      </c>
      <c r="M64" s="319"/>
      <c r="N64" s="499">
        <v>12577.59</v>
      </c>
      <c r="O64" s="319"/>
      <c r="P64" s="499">
        <v>12247.2</v>
      </c>
      <c r="Q64" s="319"/>
      <c r="R64" s="499">
        <v>10577.58</v>
      </c>
      <c r="S64" s="319"/>
      <c r="T64" s="499">
        <v>8140.28</v>
      </c>
      <c r="U64" s="319"/>
      <c r="V64" s="499">
        <v>7678.34</v>
      </c>
      <c r="W64" s="319"/>
      <c r="X64" s="499">
        <v>8809.74</v>
      </c>
      <c r="Y64" s="319"/>
      <c r="Z64" s="499">
        <v>9027.77</v>
      </c>
      <c r="AA64" s="319"/>
      <c r="AB64" s="499">
        <v>9123.02</v>
      </c>
      <c r="AC64" s="319"/>
      <c r="AD64" s="499">
        <v>9967.51</v>
      </c>
    </row>
    <row r="65" spans="1:33" x14ac:dyDescent="0.25">
      <c r="A65" s="531"/>
      <c r="B65" s="531"/>
      <c r="C65" s="531"/>
      <c r="D65" s="531"/>
      <c r="E65" s="531" t="s">
        <v>301</v>
      </c>
      <c r="F65" s="531"/>
      <c r="G65" s="531"/>
      <c r="H65" s="499">
        <v>0</v>
      </c>
      <c r="I65" s="319"/>
      <c r="J65" s="499">
        <v>1559.79</v>
      </c>
      <c r="K65" s="319"/>
      <c r="L65" s="499">
        <v>1526.25</v>
      </c>
      <c r="M65" s="319"/>
      <c r="N65" s="499">
        <v>1530.28</v>
      </c>
      <c r="O65" s="319"/>
      <c r="P65" s="499">
        <v>1538.22</v>
      </c>
      <c r="Q65" s="319"/>
      <c r="R65" s="499">
        <v>3084.76</v>
      </c>
      <c r="S65" s="319"/>
      <c r="T65" s="499">
        <v>0</v>
      </c>
      <c r="U65" s="319"/>
      <c r="V65" s="499">
        <v>1221.9100000000001</v>
      </c>
      <c r="W65" s="319"/>
      <c r="X65" s="499">
        <v>0</v>
      </c>
      <c r="Y65" s="319"/>
      <c r="Z65" s="499">
        <v>1274.67</v>
      </c>
      <c r="AA65" s="319"/>
      <c r="AB65" s="499">
        <v>2554.0300000000002</v>
      </c>
      <c r="AC65" s="319"/>
      <c r="AD65" s="499">
        <v>1396.21</v>
      </c>
    </row>
    <row r="66" spans="1:33" x14ac:dyDescent="0.25">
      <c r="A66" s="531"/>
      <c r="B66" s="531"/>
      <c r="C66" s="531"/>
      <c r="D66" s="531"/>
      <c r="E66" s="531" t="s">
        <v>302</v>
      </c>
      <c r="F66" s="531"/>
      <c r="G66" s="531"/>
      <c r="H66" s="499">
        <v>0.01</v>
      </c>
      <c r="I66" s="319"/>
      <c r="J66" s="499">
        <v>0.02</v>
      </c>
      <c r="K66" s="319"/>
      <c r="L66" s="499">
        <v>0.03</v>
      </c>
      <c r="M66" s="319"/>
      <c r="N66" s="499">
        <v>0.04</v>
      </c>
      <c r="O66" s="319"/>
      <c r="P66" s="499">
        <v>0.05</v>
      </c>
      <c r="Q66" s="319"/>
      <c r="R66" s="499">
        <v>0.05</v>
      </c>
      <c r="S66" s="319"/>
      <c r="T66" s="499">
        <v>0</v>
      </c>
      <c r="U66" s="319"/>
      <c r="V66" s="499">
        <v>0</v>
      </c>
      <c r="W66" s="319"/>
      <c r="X66" s="499">
        <v>0</v>
      </c>
      <c r="Y66" s="319"/>
      <c r="Z66" s="499">
        <v>0</v>
      </c>
      <c r="AA66" s="319"/>
      <c r="AB66" s="499">
        <v>45</v>
      </c>
      <c r="AC66" s="319"/>
      <c r="AD66" s="499">
        <v>90</v>
      </c>
    </row>
    <row r="67" spans="1:33" x14ac:dyDescent="0.25">
      <c r="A67" s="531"/>
      <c r="B67" s="531"/>
      <c r="C67" s="531"/>
      <c r="D67" s="531"/>
      <c r="E67" s="531" t="s">
        <v>303</v>
      </c>
      <c r="F67" s="531"/>
      <c r="G67" s="531"/>
      <c r="H67" s="499">
        <v>203.45</v>
      </c>
      <c r="I67" s="319"/>
      <c r="J67" s="499">
        <v>3.42</v>
      </c>
      <c r="K67" s="319"/>
      <c r="L67" s="499">
        <v>3.42</v>
      </c>
      <c r="M67" s="319"/>
      <c r="N67" s="499">
        <v>14.98</v>
      </c>
      <c r="O67" s="319"/>
      <c r="P67" s="499">
        <v>23.43</v>
      </c>
      <c r="Q67" s="319"/>
      <c r="R67" s="499">
        <v>-168.57</v>
      </c>
      <c r="S67" s="319"/>
      <c r="T67" s="499">
        <v>248</v>
      </c>
      <c r="U67" s="319"/>
      <c r="V67" s="499">
        <v>2.41</v>
      </c>
      <c r="W67" s="319"/>
      <c r="X67" s="499">
        <v>7.24</v>
      </c>
      <c r="Y67" s="319"/>
      <c r="Z67" s="499">
        <v>2.65</v>
      </c>
      <c r="AA67" s="319"/>
      <c r="AB67" s="499">
        <v>29.12</v>
      </c>
      <c r="AC67" s="319"/>
      <c r="AD67" s="499">
        <v>106.84</v>
      </c>
    </row>
    <row r="68" spans="1:33" ht="15.75" thickBot="1" x14ac:dyDescent="0.3">
      <c r="A68" s="531"/>
      <c r="B68" s="531"/>
      <c r="C68" s="531"/>
      <c r="D68" s="531"/>
      <c r="E68" s="531" t="s">
        <v>304</v>
      </c>
      <c r="F68" s="531"/>
      <c r="G68" s="531"/>
      <c r="H68" s="497">
        <v>0</v>
      </c>
      <c r="I68" s="319"/>
      <c r="J68" s="497">
        <v>0</v>
      </c>
      <c r="K68" s="319"/>
      <c r="L68" s="497">
        <v>75</v>
      </c>
      <c r="M68" s="319"/>
      <c r="N68" s="497">
        <v>0</v>
      </c>
      <c r="O68" s="319"/>
      <c r="P68" s="497">
        <v>0</v>
      </c>
      <c r="Q68" s="319"/>
      <c r="R68" s="497">
        <v>0</v>
      </c>
      <c r="S68" s="319"/>
      <c r="T68" s="497">
        <v>40</v>
      </c>
      <c r="U68" s="319"/>
      <c r="V68" s="497">
        <v>600</v>
      </c>
      <c r="W68" s="319"/>
      <c r="X68" s="497">
        <v>1500</v>
      </c>
      <c r="Y68" s="319"/>
      <c r="Z68" s="497">
        <v>100</v>
      </c>
      <c r="AA68" s="319"/>
      <c r="AB68" s="497">
        <v>0</v>
      </c>
      <c r="AC68" s="319"/>
      <c r="AD68" s="497">
        <v>0</v>
      </c>
    </row>
    <row r="69" spans="1:33" ht="15.75" thickBot="1" x14ac:dyDescent="0.3">
      <c r="A69" s="531"/>
      <c r="B69" s="531"/>
      <c r="C69" s="531"/>
      <c r="D69" s="531" t="s">
        <v>305</v>
      </c>
      <c r="E69" s="531"/>
      <c r="F69" s="531"/>
      <c r="G69" s="531"/>
      <c r="H69" s="321">
        <v>11381.95</v>
      </c>
      <c r="I69" s="319"/>
      <c r="J69" s="321">
        <v>13103.92</v>
      </c>
      <c r="K69" s="319"/>
      <c r="L69" s="321">
        <v>13560.67</v>
      </c>
      <c r="M69" s="319"/>
      <c r="N69" s="321">
        <v>14400.57</v>
      </c>
      <c r="O69" s="319"/>
      <c r="P69" s="321">
        <v>14151.58</v>
      </c>
      <c r="Q69" s="319"/>
      <c r="R69" s="321">
        <v>13886.5</v>
      </c>
      <c r="S69" s="319"/>
      <c r="T69" s="321">
        <v>9400.26</v>
      </c>
      <c r="U69" s="319"/>
      <c r="V69" s="321">
        <v>10704.64</v>
      </c>
      <c r="W69" s="319"/>
      <c r="X69" s="321">
        <v>11608.96</v>
      </c>
      <c r="Y69" s="319"/>
      <c r="Z69" s="321">
        <v>12782.07</v>
      </c>
      <c r="AA69" s="319"/>
      <c r="AB69" s="321">
        <v>14803.15</v>
      </c>
      <c r="AC69" s="319"/>
      <c r="AD69" s="321">
        <v>14787.54</v>
      </c>
    </row>
    <row r="70" spans="1:33" x14ac:dyDescent="0.25">
      <c r="A70" s="531"/>
      <c r="B70" s="531"/>
      <c r="C70" s="531" t="s">
        <v>306</v>
      </c>
      <c r="D70" s="531"/>
      <c r="E70" s="531"/>
      <c r="F70" s="531"/>
      <c r="G70" s="531"/>
      <c r="H70" s="499">
        <v>11598.69</v>
      </c>
      <c r="I70" s="319"/>
      <c r="J70" s="499">
        <v>8306.82</v>
      </c>
      <c r="K70" s="319"/>
      <c r="L70" s="499">
        <v>20156.099999999999</v>
      </c>
      <c r="M70" s="319"/>
      <c r="N70" s="499">
        <v>17537.990000000002</v>
      </c>
      <c r="O70" s="319"/>
      <c r="P70" s="499">
        <v>14796.67</v>
      </c>
      <c r="Q70" s="319"/>
      <c r="R70" s="499">
        <v>26731.83</v>
      </c>
      <c r="S70" s="319"/>
      <c r="T70" s="499">
        <v>27629.85</v>
      </c>
      <c r="U70" s="319"/>
      <c r="V70" s="499">
        <v>22515.8</v>
      </c>
      <c r="W70" s="319"/>
      <c r="X70" s="499">
        <v>24836.23</v>
      </c>
      <c r="Y70" s="319"/>
      <c r="Z70" s="499">
        <v>33773.46</v>
      </c>
      <c r="AA70" s="319"/>
      <c r="AB70" s="499">
        <v>29341.8</v>
      </c>
      <c r="AC70" s="319"/>
      <c r="AD70" s="499">
        <v>14020.05</v>
      </c>
    </row>
    <row r="71" spans="1:33" x14ac:dyDescent="0.25">
      <c r="A71" s="531"/>
      <c r="B71" s="531"/>
      <c r="C71" s="531" t="s">
        <v>307</v>
      </c>
      <c r="D71" s="531"/>
      <c r="E71" s="531"/>
      <c r="F71" s="531"/>
      <c r="G71" s="531"/>
      <c r="H71" s="499"/>
      <c r="I71" s="319"/>
      <c r="J71" s="499"/>
      <c r="K71" s="319"/>
      <c r="L71" s="499"/>
      <c r="M71" s="319"/>
      <c r="N71" s="499"/>
      <c r="O71" s="319"/>
      <c r="P71" s="499"/>
      <c r="Q71" s="319"/>
      <c r="R71" s="499"/>
      <c r="S71" s="319"/>
      <c r="T71" s="499"/>
      <c r="U71" s="319"/>
      <c r="V71" s="499"/>
      <c r="W71" s="319"/>
      <c r="X71" s="499"/>
      <c r="Y71" s="319"/>
      <c r="Z71" s="499"/>
      <c r="AA71" s="319"/>
      <c r="AB71" s="499"/>
      <c r="AC71" s="319"/>
      <c r="AD71" s="499"/>
    </row>
    <row r="72" spans="1:33" ht="15.75" thickBot="1" x14ac:dyDescent="0.3">
      <c r="A72" s="531"/>
      <c r="B72" s="531"/>
      <c r="C72" s="531"/>
      <c r="D72" s="531" t="s">
        <v>308</v>
      </c>
      <c r="E72" s="531"/>
      <c r="F72" s="531"/>
      <c r="G72" s="531"/>
      <c r="H72" s="497">
        <v>9224.2000000000007</v>
      </c>
      <c r="I72" s="319"/>
      <c r="J72" s="497">
        <v>9126.15</v>
      </c>
      <c r="K72" s="319"/>
      <c r="L72" s="497">
        <v>9028.1</v>
      </c>
      <c r="M72" s="319"/>
      <c r="N72" s="497">
        <v>8930.0499999999993</v>
      </c>
      <c r="O72" s="319"/>
      <c r="P72" s="497">
        <v>8832</v>
      </c>
      <c r="Q72" s="319"/>
      <c r="R72" s="497">
        <v>8733.9500000000007</v>
      </c>
      <c r="S72" s="319"/>
      <c r="T72" s="497">
        <v>8635.9</v>
      </c>
      <c r="U72" s="319"/>
      <c r="V72" s="497">
        <v>8537.85</v>
      </c>
      <c r="W72" s="319"/>
      <c r="X72" s="497">
        <v>8439.7999999999993</v>
      </c>
      <c r="Y72" s="319"/>
      <c r="Z72" s="497">
        <v>8341.75</v>
      </c>
      <c r="AA72" s="319"/>
      <c r="AB72" s="497">
        <v>8243.7000000000007</v>
      </c>
      <c r="AC72" s="319"/>
      <c r="AD72" s="497">
        <v>8145.65</v>
      </c>
      <c r="AF72" s="126"/>
      <c r="AG72" s="351"/>
    </row>
    <row r="73" spans="1:33" ht="15.75" thickBot="1" x14ac:dyDescent="0.3">
      <c r="A73" s="531"/>
      <c r="B73" s="531"/>
      <c r="C73" s="531" t="s">
        <v>309</v>
      </c>
      <c r="D73" s="531"/>
      <c r="E73" s="531"/>
      <c r="F73" s="531"/>
      <c r="G73" s="531"/>
      <c r="H73" s="321">
        <v>9224.2000000000007</v>
      </c>
      <c r="I73" s="319"/>
      <c r="J73" s="321">
        <v>9126.15</v>
      </c>
      <c r="K73" s="319"/>
      <c r="L73" s="321">
        <v>9028.1</v>
      </c>
      <c r="M73" s="319"/>
      <c r="N73" s="321">
        <v>8930.0499999999993</v>
      </c>
      <c r="O73" s="319"/>
      <c r="P73" s="321">
        <v>8832</v>
      </c>
      <c r="Q73" s="319"/>
      <c r="R73" s="321">
        <v>8733.9500000000007</v>
      </c>
      <c r="S73" s="319"/>
      <c r="T73" s="321">
        <v>8635.9</v>
      </c>
      <c r="U73" s="319"/>
      <c r="V73" s="321">
        <v>8537.85</v>
      </c>
      <c r="W73" s="319"/>
      <c r="X73" s="321">
        <v>8439.7999999999993</v>
      </c>
      <c r="Y73" s="319"/>
      <c r="Z73" s="321">
        <v>8341.75</v>
      </c>
      <c r="AA73" s="319"/>
      <c r="AB73" s="321">
        <v>8243.7000000000007</v>
      </c>
      <c r="AC73" s="319"/>
      <c r="AD73" s="321">
        <v>8145.65</v>
      </c>
    </row>
    <row r="74" spans="1:33" x14ac:dyDescent="0.25">
      <c r="A74" s="531"/>
      <c r="B74" s="531" t="s">
        <v>310</v>
      </c>
      <c r="C74" s="531"/>
      <c r="D74" s="531"/>
      <c r="E74" s="531"/>
      <c r="F74" s="531"/>
      <c r="G74" s="531"/>
      <c r="H74" s="499">
        <v>20822.89</v>
      </c>
      <c r="I74" s="319"/>
      <c r="J74" s="499">
        <v>17432.97</v>
      </c>
      <c r="K74" s="319"/>
      <c r="L74" s="499">
        <v>29184.2</v>
      </c>
      <c r="M74" s="319"/>
      <c r="N74" s="499">
        <v>26468.04</v>
      </c>
      <c r="O74" s="319"/>
      <c r="P74" s="499">
        <v>23628.67</v>
      </c>
      <c r="Q74" s="319"/>
      <c r="R74" s="499">
        <v>35465.78</v>
      </c>
      <c r="S74" s="319"/>
      <c r="T74" s="499">
        <v>36265.75</v>
      </c>
      <c r="U74" s="319"/>
      <c r="V74" s="499">
        <v>31053.65</v>
      </c>
      <c r="W74" s="319"/>
      <c r="X74" s="499">
        <v>33276.03</v>
      </c>
      <c r="Y74" s="319"/>
      <c r="Z74" s="499">
        <v>42115.21</v>
      </c>
      <c r="AA74" s="319"/>
      <c r="AB74" s="499">
        <v>37585.5</v>
      </c>
      <c r="AC74" s="319"/>
      <c r="AD74" s="499">
        <v>22165.7</v>
      </c>
      <c r="AF74" s="126"/>
    </row>
    <row r="75" spans="1:33" x14ac:dyDescent="0.25">
      <c r="A75" s="531"/>
      <c r="B75" s="531" t="s">
        <v>311</v>
      </c>
      <c r="C75" s="531"/>
      <c r="D75" s="531"/>
      <c r="E75" s="531"/>
      <c r="F75" s="531"/>
      <c r="G75" s="531"/>
      <c r="H75" s="499"/>
      <c r="I75" s="319"/>
      <c r="J75" s="499"/>
      <c r="K75" s="319"/>
      <c r="L75" s="499"/>
      <c r="M75" s="319"/>
      <c r="N75" s="499"/>
      <c r="O75" s="319"/>
      <c r="P75" s="499"/>
      <c r="Q75" s="319"/>
      <c r="R75" s="499"/>
      <c r="S75" s="319"/>
      <c r="T75" s="499"/>
      <c r="U75" s="319"/>
      <c r="V75" s="499"/>
      <c r="W75" s="319"/>
      <c r="X75" s="499"/>
      <c r="Y75" s="319"/>
      <c r="Z75" s="499"/>
      <c r="AA75" s="319"/>
      <c r="AB75" s="499"/>
      <c r="AC75" s="319"/>
      <c r="AD75" s="499"/>
      <c r="AE75" s="126"/>
      <c r="AF75" s="126"/>
    </row>
    <row r="76" spans="1:33" x14ac:dyDescent="0.25">
      <c r="A76" s="531"/>
      <c r="B76" s="531"/>
      <c r="C76" s="531" t="s">
        <v>312</v>
      </c>
      <c r="D76" s="531"/>
      <c r="E76" s="531"/>
      <c r="F76" s="531"/>
      <c r="G76" s="531"/>
      <c r="H76" s="499">
        <v>-22338.26</v>
      </c>
      <c r="I76" s="319"/>
      <c r="J76" s="499">
        <v>-21696.52</v>
      </c>
      <c r="K76" s="319"/>
      <c r="L76" s="499">
        <v>-22987.7</v>
      </c>
      <c r="M76" s="319"/>
      <c r="N76" s="499">
        <v>-23223.48</v>
      </c>
      <c r="O76" s="319"/>
      <c r="P76" s="499">
        <v>-23223.48</v>
      </c>
      <c r="Q76" s="319"/>
      <c r="R76" s="499">
        <v>-17227.22</v>
      </c>
      <c r="S76" s="319"/>
      <c r="T76" s="499">
        <v>-27290.2</v>
      </c>
      <c r="U76" s="319"/>
      <c r="V76" s="499">
        <v>53886.73</v>
      </c>
      <c r="W76" s="319"/>
      <c r="X76" s="499">
        <v>54494.48</v>
      </c>
      <c r="Y76" s="319"/>
      <c r="Z76" s="499">
        <v>54494.48</v>
      </c>
      <c r="AA76" s="319"/>
      <c r="AB76" s="499">
        <v>62564.54</v>
      </c>
      <c r="AC76" s="319"/>
      <c r="AD76" s="499">
        <v>67085.86</v>
      </c>
      <c r="AE76" s="126"/>
    </row>
    <row r="77" spans="1:33" x14ac:dyDescent="0.25">
      <c r="A77" s="531"/>
      <c r="B77" s="531"/>
      <c r="C77" s="531" t="s">
        <v>313</v>
      </c>
      <c r="D77" s="531"/>
      <c r="E77" s="531"/>
      <c r="F77" s="531"/>
      <c r="G77" s="531"/>
      <c r="H77" s="499"/>
      <c r="I77" s="319"/>
      <c r="J77" s="499"/>
      <c r="K77" s="319"/>
      <c r="L77" s="499"/>
      <c r="M77" s="319"/>
      <c r="N77" s="499"/>
      <c r="O77" s="319"/>
      <c r="P77" s="499"/>
      <c r="Q77" s="319"/>
      <c r="R77" s="499"/>
      <c r="S77" s="319"/>
      <c r="T77" s="499"/>
      <c r="U77" s="319"/>
      <c r="V77" s="499"/>
      <c r="W77" s="319"/>
      <c r="X77" s="499"/>
      <c r="Y77" s="319"/>
      <c r="Z77" s="499"/>
      <c r="AA77" s="319"/>
      <c r="AB77" s="499"/>
      <c r="AC77" s="319"/>
      <c r="AD77" s="499"/>
    </row>
    <row r="78" spans="1:33" x14ac:dyDescent="0.25">
      <c r="A78" s="531"/>
      <c r="B78" s="531"/>
      <c r="C78" s="531"/>
      <c r="D78" s="531" t="s">
        <v>314</v>
      </c>
      <c r="E78" s="531"/>
      <c r="F78" s="531"/>
      <c r="G78" s="531"/>
      <c r="H78" s="499">
        <v>10780</v>
      </c>
      <c r="I78" s="319"/>
      <c r="J78" s="499">
        <v>10780</v>
      </c>
      <c r="K78" s="319"/>
      <c r="L78" s="499">
        <v>10780</v>
      </c>
      <c r="M78" s="319"/>
      <c r="N78" s="499">
        <v>10780</v>
      </c>
      <c r="O78" s="319"/>
      <c r="P78" s="499">
        <v>10780</v>
      </c>
      <c r="Q78" s="319"/>
      <c r="R78" s="499">
        <v>10780</v>
      </c>
      <c r="S78" s="319"/>
      <c r="T78" s="499">
        <v>21353.46</v>
      </c>
      <c r="U78" s="319"/>
      <c r="V78" s="499">
        <v>21353.46</v>
      </c>
      <c r="W78" s="319"/>
      <c r="X78" s="499">
        <v>21353.46</v>
      </c>
      <c r="Y78" s="319"/>
      <c r="Z78" s="499">
        <v>21353.46</v>
      </c>
      <c r="AA78" s="319"/>
      <c r="AB78" s="499">
        <v>21353.46</v>
      </c>
      <c r="AC78" s="319"/>
      <c r="AD78" s="499">
        <v>21353.46</v>
      </c>
      <c r="AE78" s="126"/>
      <c r="AF78" s="126"/>
    </row>
    <row r="79" spans="1:33" x14ac:dyDescent="0.25">
      <c r="A79" s="531"/>
      <c r="B79" s="531"/>
      <c r="C79" s="531"/>
      <c r="D79" s="531" t="s">
        <v>315</v>
      </c>
      <c r="E79" s="531"/>
      <c r="F79" s="531"/>
      <c r="G79" s="531"/>
      <c r="H79" s="499">
        <v>95480.42</v>
      </c>
      <c r="I79" s="319"/>
      <c r="J79" s="499">
        <v>95480.42</v>
      </c>
      <c r="K79" s="319"/>
      <c r="L79" s="499">
        <v>95480.42</v>
      </c>
      <c r="M79" s="319"/>
      <c r="N79" s="499">
        <v>95480.42</v>
      </c>
      <c r="O79" s="319"/>
      <c r="P79" s="499">
        <v>95480.42</v>
      </c>
      <c r="Q79" s="319"/>
      <c r="R79" s="499">
        <v>95480.42</v>
      </c>
      <c r="S79" s="319"/>
      <c r="T79" s="499">
        <v>95480.42</v>
      </c>
      <c r="U79" s="319"/>
      <c r="V79" s="499">
        <v>95480.42</v>
      </c>
      <c r="W79" s="319"/>
      <c r="X79" s="499">
        <v>95480.42</v>
      </c>
      <c r="Y79" s="319"/>
      <c r="Z79" s="499">
        <v>95480.42</v>
      </c>
      <c r="AA79" s="319"/>
      <c r="AB79" s="499">
        <v>95480.42</v>
      </c>
      <c r="AC79" s="319"/>
      <c r="AD79" s="499">
        <v>95480.42</v>
      </c>
    </row>
    <row r="80" spans="1:33" x14ac:dyDescent="0.25">
      <c r="A80" s="531"/>
      <c r="B80" s="531"/>
      <c r="C80" s="531"/>
      <c r="D80" s="531" t="s">
        <v>316</v>
      </c>
      <c r="E80" s="531"/>
      <c r="F80" s="531"/>
      <c r="G80" s="531"/>
      <c r="H80" s="499">
        <v>41241</v>
      </c>
      <c r="I80" s="319"/>
      <c r="J80" s="499">
        <v>41317.440000000002</v>
      </c>
      <c r="K80" s="319"/>
      <c r="L80" s="499">
        <v>42708.62</v>
      </c>
      <c r="M80" s="319"/>
      <c r="N80" s="499">
        <v>42985.06</v>
      </c>
      <c r="O80" s="319"/>
      <c r="P80" s="499">
        <v>42985.06</v>
      </c>
      <c r="Q80" s="319"/>
      <c r="R80" s="499">
        <v>57517.94</v>
      </c>
      <c r="S80" s="319"/>
      <c r="T80" s="499">
        <v>57023.37</v>
      </c>
      <c r="U80" s="319"/>
      <c r="V80" s="499">
        <v>56315.33</v>
      </c>
      <c r="W80" s="319"/>
      <c r="X80" s="499">
        <v>55707.58</v>
      </c>
      <c r="Y80" s="319"/>
      <c r="Z80" s="499">
        <v>55707.58</v>
      </c>
      <c r="AA80" s="319"/>
      <c r="AB80" s="499">
        <v>47637.52</v>
      </c>
      <c r="AC80" s="319"/>
      <c r="AD80" s="499">
        <v>43116.2</v>
      </c>
      <c r="AE80" s="126"/>
    </row>
    <row r="81" spans="1:32" ht="15.75" thickBot="1" x14ac:dyDescent="0.3">
      <c r="A81" s="531"/>
      <c r="B81" s="531"/>
      <c r="C81" s="531"/>
      <c r="D81" s="531" t="s">
        <v>317</v>
      </c>
      <c r="E81" s="531"/>
      <c r="F81" s="531"/>
      <c r="G81" s="531"/>
      <c r="H81" s="320">
        <v>11203.89</v>
      </c>
      <c r="I81" s="319"/>
      <c r="J81" s="320">
        <v>10485.709999999999</v>
      </c>
      <c r="K81" s="319"/>
      <c r="L81" s="320">
        <v>10385.709999999999</v>
      </c>
      <c r="M81" s="319"/>
      <c r="N81" s="320">
        <v>10345.049999999999</v>
      </c>
      <c r="O81" s="319"/>
      <c r="P81" s="320">
        <v>10345.049999999999</v>
      </c>
      <c r="Q81" s="319"/>
      <c r="R81" s="320">
        <v>15.91</v>
      </c>
      <c r="S81" s="319"/>
      <c r="T81" s="320">
        <v>0</v>
      </c>
      <c r="U81" s="319"/>
      <c r="V81" s="320">
        <v>0</v>
      </c>
      <c r="W81" s="319"/>
      <c r="X81" s="320">
        <v>0</v>
      </c>
      <c r="Y81" s="319"/>
      <c r="Z81" s="320">
        <v>0</v>
      </c>
      <c r="AA81" s="319"/>
      <c r="AB81" s="320">
        <v>0</v>
      </c>
      <c r="AC81" s="319"/>
      <c r="AD81" s="320">
        <v>0</v>
      </c>
      <c r="AF81" s="126"/>
    </row>
    <row r="82" spans="1:32" s="324" customFormat="1" ht="11.25" x14ac:dyDescent="0.2">
      <c r="A82" s="531"/>
      <c r="B82" s="531"/>
      <c r="C82" s="531" t="s">
        <v>318</v>
      </c>
      <c r="D82" s="531"/>
      <c r="E82" s="531"/>
      <c r="F82" s="531"/>
      <c r="G82" s="531"/>
      <c r="H82" s="499">
        <v>158705.31</v>
      </c>
      <c r="I82" s="319"/>
      <c r="J82" s="499">
        <v>158063.57</v>
      </c>
      <c r="K82" s="319"/>
      <c r="L82" s="499">
        <v>159354.75</v>
      </c>
      <c r="M82" s="319"/>
      <c r="N82" s="499">
        <v>159590.53</v>
      </c>
      <c r="O82" s="319"/>
      <c r="P82" s="499">
        <v>159590.53</v>
      </c>
      <c r="Q82" s="319"/>
      <c r="R82" s="499">
        <v>163794.26999999999</v>
      </c>
      <c r="S82" s="319"/>
      <c r="T82" s="499">
        <v>173857.25</v>
      </c>
      <c r="U82" s="319"/>
      <c r="V82" s="499">
        <v>173149.21</v>
      </c>
      <c r="W82" s="319"/>
      <c r="X82" s="499">
        <v>172541.46</v>
      </c>
      <c r="Y82" s="319"/>
      <c r="Z82" s="499">
        <v>172541.46</v>
      </c>
      <c r="AA82" s="319"/>
      <c r="AB82" s="499">
        <v>164471.4</v>
      </c>
      <c r="AC82" s="319"/>
      <c r="AD82" s="499">
        <v>159950.07999999999</v>
      </c>
    </row>
    <row r="83" spans="1:32" x14ac:dyDescent="0.25">
      <c r="A83" s="531"/>
      <c r="B83" s="531"/>
      <c r="C83" s="531" t="s">
        <v>319</v>
      </c>
      <c r="D83" s="531"/>
      <c r="E83" s="531"/>
      <c r="F83" s="531"/>
      <c r="G83" s="531"/>
      <c r="H83" s="499"/>
      <c r="I83" s="319"/>
      <c r="J83" s="499"/>
      <c r="K83" s="319"/>
      <c r="L83" s="499"/>
      <c r="M83" s="319"/>
      <c r="N83" s="499"/>
      <c r="O83" s="319"/>
      <c r="P83" s="499"/>
      <c r="Q83" s="319"/>
      <c r="R83" s="499"/>
      <c r="S83" s="319"/>
      <c r="T83" s="499"/>
      <c r="U83" s="319"/>
      <c r="V83" s="499"/>
      <c r="W83" s="319"/>
      <c r="X83" s="499"/>
      <c r="Y83" s="319"/>
      <c r="Z83" s="499"/>
      <c r="AA83" s="319"/>
      <c r="AB83" s="499"/>
      <c r="AC83" s="319"/>
      <c r="AD83" s="499"/>
      <c r="AF83" s="351"/>
    </row>
    <row r="84" spans="1:32" ht="15.75" thickBot="1" x14ac:dyDescent="0.3">
      <c r="A84" s="531"/>
      <c r="B84" s="531"/>
      <c r="C84" s="531"/>
      <c r="D84" s="531" t="s">
        <v>320</v>
      </c>
      <c r="E84" s="531"/>
      <c r="F84" s="531"/>
      <c r="G84" s="531"/>
      <c r="H84" s="320">
        <v>10200</v>
      </c>
      <c r="I84" s="319"/>
      <c r="J84" s="320">
        <v>10200</v>
      </c>
      <c r="K84" s="319"/>
      <c r="L84" s="320">
        <v>10200</v>
      </c>
      <c r="M84" s="319"/>
      <c r="N84" s="320">
        <v>10200</v>
      </c>
      <c r="O84" s="319"/>
      <c r="P84" s="320">
        <v>10200</v>
      </c>
      <c r="Q84" s="319"/>
      <c r="R84" s="320">
        <v>0</v>
      </c>
      <c r="S84" s="319"/>
      <c r="T84" s="320">
        <v>0</v>
      </c>
      <c r="U84" s="319"/>
      <c r="V84" s="320">
        <v>0</v>
      </c>
      <c r="W84" s="319"/>
      <c r="X84" s="320">
        <v>0</v>
      </c>
      <c r="Y84" s="319"/>
      <c r="Z84" s="320">
        <v>0</v>
      </c>
      <c r="AA84" s="319"/>
      <c r="AB84" s="320">
        <v>0</v>
      </c>
      <c r="AC84" s="319"/>
      <c r="AD84" s="320">
        <v>0</v>
      </c>
    </row>
    <row r="85" spans="1:32" x14ac:dyDescent="0.25">
      <c r="A85" s="531"/>
      <c r="B85" s="531"/>
      <c r="C85" s="531" t="s">
        <v>321</v>
      </c>
      <c r="D85" s="531"/>
      <c r="E85" s="531"/>
      <c r="F85" s="531"/>
      <c r="G85" s="531"/>
      <c r="H85" s="499">
        <v>10200</v>
      </c>
      <c r="I85" s="319"/>
      <c r="J85" s="499">
        <v>10200</v>
      </c>
      <c r="K85" s="319"/>
      <c r="L85" s="499">
        <v>10200</v>
      </c>
      <c r="M85" s="319"/>
      <c r="N85" s="499">
        <v>10200</v>
      </c>
      <c r="O85" s="319"/>
      <c r="P85" s="499">
        <v>10200</v>
      </c>
      <c r="Q85" s="319"/>
      <c r="R85" s="499">
        <v>0</v>
      </c>
      <c r="S85" s="319"/>
      <c r="T85" s="499">
        <v>0</v>
      </c>
      <c r="U85" s="319"/>
      <c r="V85" s="499">
        <v>0</v>
      </c>
      <c r="W85" s="319"/>
      <c r="X85" s="499">
        <v>0</v>
      </c>
      <c r="Y85" s="319"/>
      <c r="Z85" s="499">
        <v>0</v>
      </c>
      <c r="AA85" s="319"/>
      <c r="AB85" s="499">
        <v>0</v>
      </c>
      <c r="AC85" s="319"/>
      <c r="AD85" s="499">
        <v>0</v>
      </c>
    </row>
    <row r="86" spans="1:32" ht="15.75" thickBot="1" x14ac:dyDescent="0.3">
      <c r="A86" s="531"/>
      <c r="B86" s="531"/>
      <c r="C86" s="531" t="s">
        <v>197</v>
      </c>
      <c r="D86" s="531"/>
      <c r="E86" s="531"/>
      <c r="F86" s="531"/>
      <c r="G86" s="531"/>
      <c r="H86" s="497">
        <v>108356.97</v>
      </c>
      <c r="I86" s="319"/>
      <c r="J86" s="497">
        <v>127900.77</v>
      </c>
      <c r="K86" s="319"/>
      <c r="L86" s="497">
        <v>117721.14</v>
      </c>
      <c r="M86" s="319"/>
      <c r="N86" s="497">
        <v>146163.73000000001</v>
      </c>
      <c r="O86" s="319"/>
      <c r="P86" s="497">
        <v>224926.3</v>
      </c>
      <c r="Q86" s="319"/>
      <c r="R86" s="497">
        <v>211870.79</v>
      </c>
      <c r="S86" s="319"/>
      <c r="T86" s="497">
        <v>80468.89</v>
      </c>
      <c r="U86" s="319"/>
      <c r="V86" s="497">
        <v>53619.98</v>
      </c>
      <c r="W86" s="319"/>
      <c r="X86" s="497">
        <v>50979.01</v>
      </c>
      <c r="Y86" s="319"/>
      <c r="Z86" s="497">
        <v>46838.62</v>
      </c>
      <c r="AA86" s="319"/>
      <c r="AB86" s="497">
        <v>77535.7</v>
      </c>
      <c r="AC86" s="319"/>
      <c r="AD86" s="497">
        <v>72400.960000000006</v>
      </c>
    </row>
    <row r="87" spans="1:32" ht="15.75" thickBot="1" x14ac:dyDescent="0.3">
      <c r="A87" s="531"/>
      <c r="B87" s="531" t="s">
        <v>322</v>
      </c>
      <c r="C87" s="531"/>
      <c r="D87" s="531"/>
      <c r="E87" s="531"/>
      <c r="F87" s="531"/>
      <c r="G87" s="531"/>
      <c r="H87" s="322">
        <v>254924.02</v>
      </c>
      <c r="I87" s="319"/>
      <c r="J87" s="322">
        <v>274467.82</v>
      </c>
      <c r="K87" s="319"/>
      <c r="L87" s="322">
        <v>264288.19</v>
      </c>
      <c r="M87" s="319"/>
      <c r="N87" s="322">
        <v>292730.78000000003</v>
      </c>
      <c r="O87" s="319"/>
      <c r="P87" s="322">
        <v>371493.35</v>
      </c>
      <c r="Q87" s="319"/>
      <c r="R87" s="322">
        <v>358437.84</v>
      </c>
      <c r="S87" s="319"/>
      <c r="T87" s="322">
        <v>227035.94</v>
      </c>
      <c r="U87" s="319"/>
      <c r="V87" s="322">
        <v>280655.92</v>
      </c>
      <c r="W87" s="319"/>
      <c r="X87" s="322">
        <v>278014.95</v>
      </c>
      <c r="Y87" s="319"/>
      <c r="Z87" s="322">
        <v>273874.56</v>
      </c>
      <c r="AA87" s="319"/>
      <c r="AB87" s="322">
        <v>304571.64</v>
      </c>
      <c r="AC87" s="319"/>
      <c r="AD87" s="322">
        <v>299436.90000000002</v>
      </c>
    </row>
    <row r="88" spans="1:32" ht="15.75" thickBot="1" x14ac:dyDescent="0.3">
      <c r="A88" s="531" t="s">
        <v>323</v>
      </c>
      <c r="B88" s="531"/>
      <c r="C88" s="531"/>
      <c r="D88" s="531"/>
      <c r="E88" s="531"/>
      <c r="F88" s="531"/>
      <c r="G88" s="531"/>
      <c r="H88" s="323">
        <v>275746.90999999997</v>
      </c>
      <c r="I88" s="531"/>
      <c r="J88" s="323">
        <v>291900.78999999998</v>
      </c>
      <c r="K88" s="531"/>
      <c r="L88" s="323">
        <v>293472.39</v>
      </c>
      <c r="M88" s="531"/>
      <c r="N88" s="323">
        <v>319198.82</v>
      </c>
      <c r="O88" s="531"/>
      <c r="P88" s="323">
        <v>395122.02</v>
      </c>
      <c r="Q88" s="531"/>
      <c r="R88" s="323">
        <v>393903.62</v>
      </c>
      <c r="S88" s="531"/>
      <c r="T88" s="323">
        <v>263301.69</v>
      </c>
      <c r="U88" s="531"/>
      <c r="V88" s="323">
        <v>311709.57</v>
      </c>
      <c r="W88" s="531"/>
      <c r="X88" s="323">
        <v>311290.98</v>
      </c>
      <c r="Y88" s="531"/>
      <c r="Z88" s="323">
        <v>315989.77</v>
      </c>
      <c r="AA88" s="531"/>
      <c r="AB88" s="323">
        <v>342157.14</v>
      </c>
      <c r="AC88" s="531"/>
      <c r="AD88" s="323">
        <v>321602.59999999998</v>
      </c>
    </row>
    <row r="89" spans="1:32" ht="15.75" thickTop="1" x14ac:dyDescent="0.25"/>
  </sheetData>
  <pageMargins left="0.45" right="0.45" top="0.75" bottom="0.5" header="0.1" footer="0.3"/>
  <pageSetup scale="85" orientation="portrait" r:id="rId1"/>
  <headerFooter>
    <oddHeader>&amp;L&amp;"Arial,Bold"&amp;8 7:28 AM
 01/02/19
 Accrual Basis&amp;C&amp;"Arial,Bold"&amp;12 League of Women Voters of California
&amp;14 Statement of Financial Position
&amp;10 As of November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198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1986" r:id="rId4" name="HEADER"/>
      </mc:Fallback>
    </mc:AlternateContent>
    <mc:AlternateContent xmlns:mc="http://schemas.openxmlformats.org/markup-compatibility/2006">
      <mc:Choice Requires="x14">
        <control shapeId="4198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1985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2"/>
  <sheetViews>
    <sheetView topLeftCell="A93" zoomScaleNormal="100" workbookViewId="0">
      <selection activeCell="L115" sqref="L115"/>
    </sheetView>
  </sheetViews>
  <sheetFormatPr defaultRowHeight="15" x14ac:dyDescent="0.25"/>
  <cols>
    <col min="1" max="1" width="29.85546875" customWidth="1"/>
    <col min="2" max="2" width="11.42578125" customWidth="1"/>
    <col min="3" max="3" width="13.42578125" customWidth="1"/>
    <col min="4" max="4" width="12.5703125" customWidth="1"/>
    <col min="5" max="5" width="11.7109375" customWidth="1"/>
    <col min="6" max="6" width="1.85546875" style="1" customWidth="1"/>
    <col min="7" max="7" width="16.140625" customWidth="1"/>
    <col min="8" max="8" width="14.42578125" customWidth="1"/>
    <col min="9" max="9" width="12.28515625" customWidth="1"/>
    <col min="10" max="10" width="12" customWidth="1"/>
    <col min="11" max="11" width="12.5703125" customWidth="1"/>
    <col min="12" max="12" width="24.42578125" customWidth="1"/>
    <col min="13" max="13" width="10.85546875" customWidth="1"/>
    <col min="14" max="14" width="11.7109375" customWidth="1"/>
    <col min="15" max="15" width="12.140625" customWidth="1"/>
  </cols>
  <sheetData>
    <row r="1" spans="1:6" x14ac:dyDescent="0.25">
      <c r="A1" s="107" t="s">
        <v>41</v>
      </c>
    </row>
    <row r="2" spans="1:6" ht="15.75" thickBot="1" x14ac:dyDescent="0.3">
      <c r="A2" s="9" t="s">
        <v>471</v>
      </c>
      <c r="B2" s="6"/>
      <c r="C2" s="6"/>
      <c r="D2" s="6"/>
      <c r="E2" s="6"/>
      <c r="F2" s="7"/>
    </row>
    <row r="3" spans="1:6" ht="48" customHeight="1" x14ac:dyDescent="0.25">
      <c r="A3" s="42" t="s">
        <v>42</v>
      </c>
      <c r="B3" s="108" t="s">
        <v>33</v>
      </c>
      <c r="C3" s="108" t="s">
        <v>43</v>
      </c>
      <c r="D3" s="15" t="s">
        <v>44</v>
      </c>
      <c r="E3" s="15" t="s">
        <v>45</v>
      </c>
      <c r="F3" s="16"/>
    </row>
    <row r="4" spans="1:6" x14ac:dyDescent="0.25">
      <c r="A4" s="109" t="s">
        <v>27</v>
      </c>
      <c r="B4" s="22">
        <f>+B27</f>
        <v>261420</v>
      </c>
      <c r="C4" s="22">
        <f>+C27</f>
        <v>55220.5</v>
      </c>
      <c r="D4" s="24">
        <f>B4-C4</f>
        <v>206199.5</v>
      </c>
      <c r="E4" s="110">
        <f t="shared" ref="E4:E8" si="0">+C4/B4</f>
        <v>0.21123288195241374</v>
      </c>
      <c r="F4" s="20"/>
    </row>
    <row r="5" spans="1:6" x14ac:dyDescent="0.25">
      <c r="A5" s="32" t="s">
        <v>32</v>
      </c>
      <c r="B5" s="33">
        <f>SUM(B4:B4)</f>
        <v>261420</v>
      </c>
      <c r="C5" s="33">
        <f>SUM(C4:C4)</f>
        <v>55220.5</v>
      </c>
      <c r="D5" s="24">
        <f t="shared" ref="D5:D7" si="1">B5-C5</f>
        <v>206199.5</v>
      </c>
      <c r="E5" s="110">
        <f t="shared" si="0"/>
        <v>0.21123288195241374</v>
      </c>
      <c r="F5" s="20"/>
    </row>
    <row r="6" spans="1:6" x14ac:dyDescent="0.25">
      <c r="A6" s="38" t="s">
        <v>255</v>
      </c>
      <c r="B6" s="33">
        <v>12589</v>
      </c>
      <c r="C6" s="33"/>
      <c r="D6" s="24">
        <f t="shared" si="1"/>
        <v>12589</v>
      </c>
      <c r="E6" s="110">
        <f t="shared" si="0"/>
        <v>0</v>
      </c>
      <c r="F6" s="20"/>
    </row>
    <row r="7" spans="1:6" x14ac:dyDescent="0.25">
      <c r="A7" s="21" t="s">
        <v>46</v>
      </c>
      <c r="B7" s="128">
        <f>219497-12589</f>
        <v>206908</v>
      </c>
      <c r="C7" s="33">
        <f>'FASB117 '!H61-'FASB117 '!H39</f>
        <v>121922.86000000002</v>
      </c>
      <c r="D7" s="111">
        <f t="shared" si="1"/>
        <v>84985.139999999985</v>
      </c>
      <c r="E7" s="110">
        <f t="shared" si="0"/>
        <v>0.5892612175459625</v>
      </c>
      <c r="F7" s="20"/>
    </row>
    <row r="8" spans="1:6" ht="15.75" thickBot="1" x14ac:dyDescent="0.3">
      <c r="A8" s="112" t="s">
        <v>1</v>
      </c>
      <c r="B8" s="103">
        <f>+B5-B7-B6</f>
        <v>41923</v>
      </c>
      <c r="C8" s="103">
        <f>+C5-C7-C6</f>
        <v>-66702.360000000015</v>
      </c>
      <c r="D8" s="113">
        <f>+B8-C8</f>
        <v>108625.36000000002</v>
      </c>
      <c r="E8" s="114">
        <f t="shared" si="0"/>
        <v>-1.5910683872814448</v>
      </c>
      <c r="F8" s="20"/>
    </row>
    <row r="9" spans="1:6" x14ac:dyDescent="0.25">
      <c r="A9" s="21"/>
      <c r="B9" s="29"/>
      <c r="C9" s="7"/>
      <c r="D9" s="25"/>
      <c r="E9" s="20"/>
      <c r="F9" s="20"/>
    </row>
    <row r="10" spans="1:6" x14ac:dyDescent="0.25">
      <c r="A10" s="21" t="s">
        <v>431</v>
      </c>
      <c r="B10" s="307">
        <f>'Summary Reports'!E12</f>
        <v>47269</v>
      </c>
      <c r="C10" s="30"/>
      <c r="D10" s="25"/>
      <c r="E10" s="20"/>
      <c r="F10" s="20"/>
    </row>
    <row r="11" spans="1:6" ht="15.75" thickBot="1" x14ac:dyDescent="0.3">
      <c r="A11" s="112" t="s">
        <v>432</v>
      </c>
      <c r="B11" s="309">
        <f>+B10+B8</f>
        <v>89192</v>
      </c>
      <c r="C11" s="22"/>
      <c r="D11" s="25"/>
      <c r="E11" s="20"/>
      <c r="F11" s="20"/>
    </row>
    <row r="12" spans="1:6" ht="15.75" thickBot="1" x14ac:dyDescent="0.3">
      <c r="A12" s="112"/>
      <c r="B12" s="63"/>
      <c r="C12" s="7"/>
      <c r="D12" s="25"/>
      <c r="E12" s="20"/>
      <c r="F12" s="20"/>
    </row>
    <row r="13" spans="1:6" x14ac:dyDescent="0.25">
      <c r="A13" s="42" t="s">
        <v>47</v>
      </c>
      <c r="B13" s="115"/>
      <c r="C13" s="7"/>
      <c r="D13" s="7"/>
      <c r="E13" s="7"/>
      <c r="F13" s="7"/>
    </row>
    <row r="14" spans="1:6" x14ac:dyDescent="0.25">
      <c r="A14" s="109" t="s">
        <v>5</v>
      </c>
      <c r="B14" s="71">
        <f>+B11-B15</f>
        <v>50146</v>
      </c>
      <c r="C14" s="22"/>
      <c r="D14" s="25"/>
      <c r="E14" s="20"/>
      <c r="F14" s="20"/>
    </row>
    <row r="15" spans="1:6" x14ac:dyDescent="0.25">
      <c r="A15" s="109" t="s">
        <v>48</v>
      </c>
      <c r="B15" s="71">
        <v>39046</v>
      </c>
      <c r="C15" s="33"/>
      <c r="D15" s="25"/>
      <c r="E15" s="20"/>
      <c r="F15" s="20"/>
    </row>
    <row r="16" spans="1:6" x14ac:dyDescent="0.25">
      <c r="A16" s="109" t="s">
        <v>4</v>
      </c>
      <c r="B16" s="71"/>
      <c r="C16" s="33"/>
      <c r="D16" s="25"/>
      <c r="E16" s="20"/>
      <c r="F16" s="20"/>
    </row>
    <row r="17" spans="1:10" ht="15.75" thickBot="1" x14ac:dyDescent="0.3">
      <c r="A17" s="36" t="s">
        <v>49</v>
      </c>
      <c r="B17" s="349">
        <f>SUM(B14:B16)</f>
        <v>89192</v>
      </c>
      <c r="C17" s="53"/>
      <c r="D17" s="25"/>
      <c r="E17" s="20"/>
      <c r="F17" s="20"/>
    </row>
    <row r="18" spans="1:10" x14ac:dyDescent="0.25">
      <c r="A18" s="39"/>
      <c r="B18" s="40"/>
      <c r="C18" s="40"/>
      <c r="D18" s="6"/>
      <c r="E18" s="39"/>
      <c r="F18" s="39"/>
    </row>
    <row r="19" spans="1:10" x14ac:dyDescent="0.25">
      <c r="A19" s="116"/>
      <c r="B19" s="117"/>
      <c r="C19" s="117"/>
      <c r="E19" s="116"/>
      <c r="F19" s="116"/>
      <c r="G19" s="116"/>
      <c r="H19" s="117"/>
      <c r="I19" s="117"/>
      <c r="J19" s="117"/>
    </row>
    <row r="20" spans="1:10" ht="15.75" thickBot="1" x14ac:dyDescent="0.3">
      <c r="A20" s="116"/>
      <c r="B20" s="117"/>
      <c r="C20" s="117"/>
      <c r="I20" s="94"/>
    </row>
    <row r="21" spans="1:10" ht="30" x14ac:dyDescent="0.25">
      <c r="A21" s="118" t="s">
        <v>50</v>
      </c>
      <c r="B21" s="119" t="s">
        <v>33</v>
      </c>
      <c r="C21" s="119" t="s">
        <v>43</v>
      </c>
      <c r="D21" s="120" t="s">
        <v>44</v>
      </c>
      <c r="E21" s="120" t="s">
        <v>45</v>
      </c>
      <c r="F21" s="121"/>
      <c r="G21" s="121"/>
      <c r="H21" s="87"/>
      <c r="I21" s="2"/>
    </row>
    <row r="22" spans="1:10" x14ac:dyDescent="0.25">
      <c r="A22" s="122" t="s">
        <v>51</v>
      </c>
      <c r="B22" s="123">
        <f>+'LWVCEF-Stmt of Activ. by Class'!CP11</f>
        <v>155000</v>
      </c>
      <c r="C22" s="155">
        <f>+'LWVCEF-Stmt of Activ. by Class'!CT11</f>
        <v>34689.22</v>
      </c>
      <c r="D22" s="81">
        <f>+B22-C22</f>
        <v>120310.78</v>
      </c>
      <c r="E22" s="124">
        <f>+C22/B22</f>
        <v>0.22380141935483872</v>
      </c>
      <c r="F22" s="125"/>
      <c r="G22" s="125"/>
      <c r="H22" s="126"/>
      <c r="I22" s="2"/>
    </row>
    <row r="23" spans="1:10" x14ac:dyDescent="0.25">
      <c r="A23" s="127" t="s">
        <v>52</v>
      </c>
      <c r="B23" s="128">
        <f>+'LWVCEF-Stmt of Activ. by Class'!CP9+'LWVCEF-Stmt of Activ. by Class'!CP13</f>
        <v>9950</v>
      </c>
      <c r="C23" s="128">
        <f>+'LWVCEF-Stmt of Activ. by Class'!CT8+'LWVCEF-Stmt of Activ. by Class'!CT13</f>
        <v>9269.16</v>
      </c>
      <c r="D23" s="81">
        <f t="shared" ref="D23:D27" si="2">+B23-C23</f>
        <v>680.84000000000015</v>
      </c>
      <c r="E23" s="124">
        <f t="shared" ref="E23:E33" si="3">+C23/B23</f>
        <v>0.9315738693467337</v>
      </c>
      <c r="F23" s="125"/>
      <c r="G23" s="125"/>
      <c r="H23" s="129"/>
      <c r="I23" s="2"/>
    </row>
    <row r="24" spans="1:10" x14ac:dyDescent="0.25">
      <c r="A24" s="127" t="s">
        <v>53</v>
      </c>
      <c r="B24" s="128">
        <f>+'LWVCEF-Stmt of Activ. by Class'!CP20</f>
        <v>80000</v>
      </c>
      <c r="C24" s="128">
        <f>+'LWVCEF-Stmt of Activ. by Class'!CT20</f>
        <v>5000</v>
      </c>
      <c r="D24" s="81">
        <f t="shared" si="2"/>
        <v>75000</v>
      </c>
      <c r="E24" s="124">
        <f t="shared" si="3"/>
        <v>6.25E-2</v>
      </c>
      <c r="F24" s="125"/>
      <c r="G24" s="125"/>
      <c r="H24" s="2"/>
      <c r="I24" s="2"/>
    </row>
    <row r="25" spans="1:10" x14ac:dyDescent="0.25">
      <c r="A25" s="127" t="s">
        <v>37</v>
      </c>
      <c r="B25" s="128">
        <f>+'LWVCEF-Stmt of Activ. by Class'!CP17</f>
        <v>10000</v>
      </c>
      <c r="C25" s="128">
        <f>+'LWVCEF-Stmt of Activ. by Class'!CT17+'LWVCEF-Stmt of Activ. by Class'!CT18</f>
        <v>3870.85</v>
      </c>
      <c r="D25" s="81">
        <f t="shared" si="2"/>
        <v>6129.15</v>
      </c>
      <c r="E25" s="124">
        <f t="shared" si="3"/>
        <v>0.38708500000000001</v>
      </c>
      <c r="F25" s="125"/>
      <c r="G25" s="125"/>
      <c r="H25" s="2"/>
      <c r="I25" s="2"/>
    </row>
    <row r="26" spans="1:10" x14ac:dyDescent="0.25">
      <c r="A26" s="127" t="s">
        <v>54</v>
      </c>
      <c r="B26" s="128">
        <f>+'LWVCEF-Stmt of Activ. by Class'!CP23+'LWVCEF-Stmt of Activ. by Class'!CP22</f>
        <v>6470</v>
      </c>
      <c r="C26" s="128">
        <f>+'LWVCEF-Stmt of Activ. by Class'!CT23+'LWVCEF-Stmt of Activ. by Class'!CT22</f>
        <v>2391.27</v>
      </c>
      <c r="D26" s="81">
        <f t="shared" si="2"/>
        <v>4078.73</v>
      </c>
      <c r="E26" s="124">
        <f t="shared" si="3"/>
        <v>0.36959350850077277</v>
      </c>
      <c r="F26" s="125"/>
      <c r="G26" s="125"/>
      <c r="H26" s="2"/>
      <c r="I26" s="2"/>
    </row>
    <row r="27" spans="1:10" x14ac:dyDescent="0.25">
      <c r="A27" s="130" t="s">
        <v>55</v>
      </c>
      <c r="B27" s="131">
        <f>SUM(B22:B26)</f>
        <v>261420</v>
      </c>
      <c r="C27" s="131">
        <f>SUM(C22:C26)</f>
        <v>55220.5</v>
      </c>
      <c r="D27" s="81">
        <f t="shared" si="2"/>
        <v>206199.5</v>
      </c>
      <c r="E27" s="124">
        <f t="shared" si="3"/>
        <v>0.21123288195241374</v>
      </c>
      <c r="F27" s="125"/>
      <c r="G27" s="132"/>
      <c r="H27" s="2"/>
      <c r="I27" s="2"/>
    </row>
    <row r="28" spans="1:10" x14ac:dyDescent="0.25">
      <c r="A28" s="95"/>
      <c r="B28" s="2"/>
      <c r="C28" s="2"/>
      <c r="D28" s="81"/>
      <c r="E28" s="84"/>
      <c r="F28" s="2"/>
      <c r="G28" s="2"/>
      <c r="H28" s="2"/>
      <c r="I28" s="2"/>
    </row>
    <row r="29" spans="1:10" x14ac:dyDescent="0.25">
      <c r="A29" s="133" t="s">
        <v>56</v>
      </c>
      <c r="B29" s="134">
        <f>+'LWVCEF-Stmt of Activ. by Class'!CP10</f>
        <v>25000</v>
      </c>
      <c r="C29" s="333">
        <f>+'LWVCEF-Stmt of Activ. by Class'!CU10</f>
        <v>1200</v>
      </c>
      <c r="D29" s="81">
        <f>+B29-C29</f>
        <v>23800</v>
      </c>
      <c r="E29" s="124">
        <f t="shared" si="3"/>
        <v>4.8000000000000001E-2</v>
      </c>
      <c r="F29" s="125"/>
      <c r="G29" s="125"/>
      <c r="H29" s="2"/>
      <c r="I29" s="2"/>
    </row>
    <row r="30" spans="1:10" x14ac:dyDescent="0.25">
      <c r="A30" s="133" t="s">
        <v>57</v>
      </c>
      <c r="B30" s="134">
        <f>+'LWVCEF-Stmt of Activ. by Class'!CP12</f>
        <v>20000</v>
      </c>
      <c r="C30" s="333">
        <f>+'LWVCEF-Stmt of Activ. by Class'!CU12</f>
        <v>2513.35</v>
      </c>
      <c r="D30" s="81">
        <f>+B30-C30</f>
        <v>17486.650000000001</v>
      </c>
      <c r="E30" s="124">
        <f t="shared" si="3"/>
        <v>0.12566749999999999</v>
      </c>
      <c r="F30" s="125"/>
      <c r="G30" s="125"/>
      <c r="H30" s="2"/>
      <c r="I30" s="2"/>
    </row>
    <row r="31" spans="1:10" x14ac:dyDescent="0.25">
      <c r="A31" s="127" t="s">
        <v>52</v>
      </c>
      <c r="B31" s="134"/>
      <c r="C31" s="333">
        <v>0</v>
      </c>
      <c r="D31" s="81"/>
      <c r="E31" s="124"/>
      <c r="F31" s="125"/>
      <c r="G31" s="125"/>
      <c r="H31" s="2"/>
      <c r="I31" s="2"/>
    </row>
    <row r="32" spans="1:10" x14ac:dyDescent="0.25">
      <c r="A32" s="135" t="s">
        <v>58</v>
      </c>
      <c r="B32" s="134">
        <f>+'LWVCEF-Stmt of Activ. by Class'!CP14</f>
        <v>338750</v>
      </c>
      <c r="C32" s="333">
        <f>+'LWVCEF-Stmt of Activ. by Class'!CU14</f>
        <v>3000</v>
      </c>
      <c r="D32" s="81">
        <f>+B32-C32</f>
        <v>335750</v>
      </c>
      <c r="E32" s="124">
        <f t="shared" si="3"/>
        <v>8.8560885608856086E-3</v>
      </c>
      <c r="F32" s="125"/>
      <c r="G32" s="125"/>
      <c r="H32" s="2"/>
      <c r="I32" s="2"/>
    </row>
    <row r="33" spans="1:12" x14ac:dyDescent="0.25">
      <c r="A33" s="136" t="s">
        <v>59</v>
      </c>
      <c r="B33" s="137">
        <f>SUM(B29:B32)</f>
        <v>383750</v>
      </c>
      <c r="C33" s="260">
        <f>SUM(C29:C32)</f>
        <v>6713.35</v>
      </c>
      <c r="D33" s="81">
        <f>+B33-C33</f>
        <v>377036.65</v>
      </c>
      <c r="E33" s="124">
        <f t="shared" si="3"/>
        <v>1.7494071661237787E-2</v>
      </c>
      <c r="F33" s="125"/>
      <c r="G33" s="125"/>
      <c r="H33" s="94"/>
    </row>
    <row r="34" spans="1:12" x14ac:dyDescent="0.25">
      <c r="A34" s="138"/>
      <c r="B34" s="139"/>
      <c r="C34" s="139"/>
      <c r="D34" s="81"/>
      <c r="E34" s="140"/>
      <c r="G34" s="1"/>
      <c r="H34" s="94"/>
    </row>
    <row r="35" spans="1:12" ht="15.75" thickBot="1" x14ac:dyDescent="0.3">
      <c r="A35" s="141" t="s">
        <v>60</v>
      </c>
      <c r="B35" s="142">
        <f>+B33+B27</f>
        <v>645170</v>
      </c>
      <c r="C35" s="142">
        <f>C33+C27</f>
        <v>61933.85</v>
      </c>
      <c r="D35" s="143">
        <f>+B35-C35</f>
        <v>583236.15</v>
      </c>
      <c r="E35" s="144">
        <f>+C35/B35</f>
        <v>9.5996171551684051E-2</v>
      </c>
      <c r="F35" s="125"/>
      <c r="G35" s="125"/>
      <c r="H35" s="94"/>
    </row>
    <row r="36" spans="1:12" x14ac:dyDescent="0.25">
      <c r="B36" t="s">
        <v>120</v>
      </c>
    </row>
    <row r="37" spans="1:12" x14ac:dyDescent="0.25">
      <c r="B37" s="94" t="s">
        <v>120</v>
      </c>
      <c r="C37" s="94"/>
    </row>
    <row r="39" spans="1:12" ht="15.75" thickBot="1" x14ac:dyDescent="0.3"/>
    <row r="40" spans="1:12" ht="30" x14ac:dyDescent="0.25">
      <c r="A40" s="145" t="s">
        <v>61</v>
      </c>
      <c r="B40" s="146" t="s">
        <v>33</v>
      </c>
      <c r="C40" s="146" t="s">
        <v>43</v>
      </c>
      <c r="D40" s="147" t="s">
        <v>44</v>
      </c>
      <c r="E40" s="120" t="s">
        <v>45</v>
      </c>
      <c r="F40" s="121"/>
    </row>
    <row r="41" spans="1:12" x14ac:dyDescent="0.25">
      <c r="A41" s="92" t="s">
        <v>62</v>
      </c>
      <c r="B41" s="123">
        <f>+B33</f>
        <v>383750</v>
      </c>
      <c r="C41" s="22">
        <f>+C33</f>
        <v>6713.35</v>
      </c>
      <c r="D41" s="148">
        <f>+B41-C41</f>
        <v>377036.65</v>
      </c>
      <c r="E41" s="124">
        <f>+C41/B41</f>
        <v>1.7494071661237787E-2</v>
      </c>
      <c r="F41" s="125"/>
    </row>
    <row r="42" spans="1:12" x14ac:dyDescent="0.25">
      <c r="A42" s="92" t="s">
        <v>256</v>
      </c>
      <c r="B42" s="123">
        <v>-12589</v>
      </c>
      <c r="C42" s="22"/>
      <c r="D42" s="148">
        <f>+B42-C42</f>
        <v>-12589</v>
      </c>
      <c r="E42" s="124">
        <f>+C42/B42</f>
        <v>0</v>
      </c>
      <c r="F42" s="125"/>
    </row>
    <row r="43" spans="1:12" x14ac:dyDescent="0.25">
      <c r="A43" s="92" t="s">
        <v>63</v>
      </c>
      <c r="B43" s="128">
        <f>400239+12589</f>
        <v>412828</v>
      </c>
      <c r="C43" s="33">
        <f>'FASB117 '!H39</f>
        <v>66306.929999999993</v>
      </c>
      <c r="D43" s="148">
        <f>+B43-C43</f>
        <v>346521.07</v>
      </c>
      <c r="E43" s="124">
        <f>+C43/B43</f>
        <v>0.16061635838654353</v>
      </c>
      <c r="F43" s="125"/>
    </row>
    <row r="44" spans="1:12" ht="15.75" thickBot="1" x14ac:dyDescent="0.3">
      <c r="A44" s="149" t="s">
        <v>1</v>
      </c>
      <c r="B44" s="150">
        <f>+B41-B42-B43</f>
        <v>-16489</v>
      </c>
      <c r="C44" s="150">
        <f>+C41-C43</f>
        <v>-59593.579999999994</v>
      </c>
      <c r="D44" s="151">
        <f>+B44-C44</f>
        <v>43104.579999999994</v>
      </c>
      <c r="E44" s="152"/>
      <c r="F44" s="125"/>
    </row>
    <row r="45" spans="1:12" x14ac:dyDescent="0.25">
      <c r="A45" s="92"/>
      <c r="B45" s="153"/>
      <c r="C45" s="129"/>
      <c r="D45" s="61"/>
      <c r="E45" s="125"/>
      <c r="F45" s="125"/>
    </row>
    <row r="46" spans="1:12" x14ac:dyDescent="0.25">
      <c r="A46" s="95"/>
      <c r="B46" s="154"/>
      <c r="C46" s="2"/>
      <c r="D46" s="61"/>
      <c r="E46" s="125"/>
      <c r="F46" s="125"/>
    </row>
    <row r="47" spans="1:12" x14ac:dyDescent="0.25">
      <c r="A47" s="92" t="s">
        <v>442</v>
      </c>
      <c r="B47" s="71">
        <f>+'Summary Reports'!L12</f>
        <v>190161</v>
      </c>
      <c r="C47" s="155"/>
      <c r="D47" s="61"/>
      <c r="E47" s="125"/>
      <c r="F47" s="125"/>
      <c r="L47" s="94"/>
    </row>
    <row r="48" spans="1:12" ht="15.75" thickBot="1" x14ac:dyDescent="0.3">
      <c r="A48" s="92" t="s">
        <v>64</v>
      </c>
      <c r="B48" s="72">
        <f>+B44+B47</f>
        <v>173672</v>
      </c>
      <c r="C48" s="155"/>
      <c r="D48" s="61"/>
      <c r="E48" s="125"/>
      <c r="F48" s="125"/>
    </row>
    <row r="49" spans="1:6" ht="16.5" thickTop="1" thickBot="1" x14ac:dyDescent="0.3">
      <c r="A49" s="156"/>
      <c r="B49" s="157"/>
      <c r="C49" s="2"/>
      <c r="D49" s="61"/>
      <c r="E49" s="125"/>
      <c r="F49" s="125"/>
    </row>
    <row r="50" spans="1:6" x14ac:dyDescent="0.25">
      <c r="A50" s="158" t="s">
        <v>2</v>
      </c>
      <c r="B50" s="159"/>
      <c r="C50" s="2"/>
      <c r="D50" s="2"/>
      <c r="E50" s="2"/>
      <c r="F50" s="2"/>
    </row>
    <row r="51" spans="1:6" s="490" customFormat="1" x14ac:dyDescent="0.25">
      <c r="A51" s="505" t="s">
        <v>236</v>
      </c>
      <c r="B51" s="350">
        <v>15000</v>
      </c>
      <c r="C51" s="2"/>
      <c r="D51" s="2"/>
      <c r="E51" s="2"/>
      <c r="F51" s="2"/>
    </row>
    <row r="52" spans="1:6" x14ac:dyDescent="0.25">
      <c r="A52" s="95" t="s">
        <v>402</v>
      </c>
      <c r="B52" s="350">
        <v>68787</v>
      </c>
      <c r="C52" s="2"/>
      <c r="D52" s="2"/>
      <c r="E52" s="2"/>
      <c r="F52" s="2"/>
    </row>
    <row r="53" spans="1:6" x14ac:dyDescent="0.25">
      <c r="A53" s="92" t="s">
        <v>443</v>
      </c>
      <c r="B53" s="153">
        <v>12898</v>
      </c>
      <c r="C53" s="129"/>
      <c r="D53" s="2"/>
      <c r="E53" s="2"/>
      <c r="F53" s="2"/>
    </row>
    <row r="54" spans="1:6" x14ac:dyDescent="0.25">
      <c r="A54" s="92" t="s">
        <v>65</v>
      </c>
      <c r="B54" s="153">
        <f>+'Summary Reports'!L17</f>
        <v>76987</v>
      </c>
      <c r="C54" s="129"/>
      <c r="D54" s="2"/>
      <c r="E54" s="2"/>
      <c r="F54" s="2"/>
    </row>
    <row r="55" spans="1:6" ht="15.75" thickBot="1" x14ac:dyDescent="0.3">
      <c r="A55" s="160" t="s">
        <v>66</v>
      </c>
      <c r="B55" s="161">
        <f>SUM(B51:B54)</f>
        <v>173672</v>
      </c>
      <c r="C55" s="117"/>
      <c r="D55" s="61"/>
      <c r="E55" s="125"/>
      <c r="F55" s="125"/>
    </row>
    <row r="56" spans="1:6" x14ac:dyDescent="0.25">
      <c r="A56" s="116"/>
      <c r="B56" s="117"/>
      <c r="C56" s="117"/>
      <c r="D56" s="1"/>
      <c r="E56" s="162"/>
      <c r="F56" s="162"/>
    </row>
    <row r="57" spans="1:6" x14ac:dyDescent="0.25">
      <c r="A57" s="117"/>
      <c r="C57" s="1"/>
      <c r="D57" s="2"/>
      <c r="E57" s="2"/>
      <c r="F57" s="2"/>
    </row>
    <row r="58" spans="1:6" x14ac:dyDescent="0.25">
      <c r="E58" s="3"/>
      <c r="F58" s="2"/>
    </row>
    <row r="59" spans="1:6" ht="15.75" thickBot="1" x14ac:dyDescent="0.3">
      <c r="E59" s="3"/>
      <c r="F59" s="2"/>
    </row>
    <row r="60" spans="1:6" ht="30.75" thickBot="1" x14ac:dyDescent="0.3">
      <c r="A60" s="163" t="s">
        <v>67</v>
      </c>
      <c r="B60" s="164" t="s">
        <v>33</v>
      </c>
      <c r="C60" s="163" t="s">
        <v>43</v>
      </c>
      <c r="D60" s="166" t="s">
        <v>44</v>
      </c>
      <c r="E60" s="166" t="s">
        <v>45</v>
      </c>
      <c r="F60" s="121"/>
    </row>
    <row r="61" spans="1:6" x14ac:dyDescent="0.25">
      <c r="A61" s="140" t="s">
        <v>3</v>
      </c>
      <c r="B61" s="148">
        <f>+B35</f>
        <v>645170</v>
      </c>
      <c r="C61" s="80">
        <f>+C35</f>
        <v>61933.85</v>
      </c>
      <c r="D61" s="81">
        <f>+B61-C61</f>
        <v>583236.15</v>
      </c>
      <c r="E61" s="124">
        <f>+C61/B61</f>
        <v>9.5996171551684051E-2</v>
      </c>
      <c r="F61" s="125"/>
    </row>
    <row r="62" spans="1:6" s="415" customFormat="1" x14ac:dyDescent="0.25">
      <c r="A62" s="140" t="s">
        <v>425</v>
      </c>
      <c r="B62" s="148"/>
      <c r="C62" s="81"/>
      <c r="D62" s="81">
        <f>+B62-C62</f>
        <v>0</v>
      </c>
      <c r="E62" s="124"/>
      <c r="F62" s="125"/>
    </row>
    <row r="63" spans="1:6" x14ac:dyDescent="0.25">
      <c r="A63" s="140" t="s">
        <v>68</v>
      </c>
      <c r="B63" s="148">
        <f>+K88</f>
        <v>619736</v>
      </c>
      <c r="C63" s="81">
        <f>+K96</f>
        <v>188229.78999999998</v>
      </c>
      <c r="D63" s="81">
        <f>+B63-C63</f>
        <v>431506.21</v>
      </c>
      <c r="E63" s="124">
        <f>+C63/B63</f>
        <v>0.30372576387364941</v>
      </c>
      <c r="F63" s="125"/>
    </row>
    <row r="64" spans="1:6" ht="15.75" thickBot="1" x14ac:dyDescent="0.3">
      <c r="A64" s="167" t="s">
        <v>1</v>
      </c>
      <c r="B64" s="168">
        <f>+B61-B63</f>
        <v>25434</v>
      </c>
      <c r="C64" s="143">
        <f>+C61+C62-C63</f>
        <v>-126295.93999999997</v>
      </c>
      <c r="D64" s="143">
        <f>+B64-C64</f>
        <v>151729.93999999997</v>
      </c>
      <c r="E64" s="169"/>
      <c r="F64" s="2"/>
    </row>
    <row r="65" spans="1:6" x14ac:dyDescent="0.25">
      <c r="A65" s="170"/>
      <c r="B65" s="171"/>
      <c r="C65" s="80"/>
      <c r="D65" s="61"/>
      <c r="E65" s="2"/>
      <c r="F65" s="2"/>
    </row>
    <row r="66" spans="1:6" x14ac:dyDescent="0.25">
      <c r="A66" s="92" t="s">
        <v>441</v>
      </c>
      <c r="B66" s="106">
        <f>'FASB117 '!L64</f>
        <v>237429.58000000002</v>
      </c>
      <c r="C66" s="81">
        <f>+B66</f>
        <v>237429.58000000002</v>
      </c>
      <c r="D66" s="61"/>
      <c r="E66" s="2"/>
      <c r="F66" s="2"/>
    </row>
    <row r="67" spans="1:6" ht="15.75" thickBot="1" x14ac:dyDescent="0.3">
      <c r="A67" s="149" t="s">
        <v>64</v>
      </c>
      <c r="B67" s="306">
        <f>+B64+B66</f>
        <v>262863.58</v>
      </c>
      <c r="C67" s="143">
        <f>+C66+C64</f>
        <v>111133.64000000004</v>
      </c>
      <c r="D67" s="61"/>
      <c r="E67" s="2"/>
      <c r="F67" s="2"/>
    </row>
    <row r="68" spans="1:6" ht="15.75" thickBot="1" x14ac:dyDescent="0.3">
      <c r="C68" s="172"/>
      <c r="D68" s="3"/>
      <c r="E68" s="3"/>
      <c r="F68" s="2"/>
    </row>
    <row r="69" spans="1:6" ht="15.75" thickBot="1" x14ac:dyDescent="0.3">
      <c r="A69" s="173" t="s">
        <v>69</v>
      </c>
      <c r="B69" s="164" t="s">
        <v>33</v>
      </c>
      <c r="C69" s="163" t="s">
        <v>43</v>
      </c>
      <c r="D69" s="3"/>
      <c r="E69" s="3"/>
      <c r="F69" s="2"/>
    </row>
    <row r="70" spans="1:6" x14ac:dyDescent="0.25">
      <c r="A70" s="95" t="s">
        <v>70</v>
      </c>
      <c r="B70" s="106">
        <f>+B14</f>
        <v>50146</v>
      </c>
      <c r="C70" s="348">
        <f>'LWVCEF-Stmt of Fin. Pos. by mth'!AD92</f>
        <v>8221.7999999999993</v>
      </c>
      <c r="D70" s="3"/>
      <c r="E70" s="3"/>
      <c r="F70" s="2"/>
    </row>
    <row r="71" spans="1:6" x14ac:dyDescent="0.25">
      <c r="A71" s="95" t="s">
        <v>4</v>
      </c>
      <c r="B71" s="153">
        <f>+B16</f>
        <v>0</v>
      </c>
      <c r="C71" s="346">
        <f>'LWVCEF-Stmt of Fin. Pos. by mth'!AD89+'LWVCEF-Stmt of Fin. Pos. by mth'!AD104</f>
        <v>-53259.06</v>
      </c>
      <c r="D71" s="3"/>
      <c r="E71" s="3"/>
      <c r="F71" s="2"/>
    </row>
    <row r="72" spans="1:6" x14ac:dyDescent="0.25">
      <c r="A72" s="95" t="s">
        <v>71</v>
      </c>
      <c r="B72" s="153">
        <f>+B15</f>
        <v>39046</v>
      </c>
      <c r="C72" s="346">
        <f>'LWVCEF-Stmt of Fin. Pos. by mth'!AD91</f>
        <v>39047.230000000003</v>
      </c>
      <c r="D72" s="3"/>
      <c r="E72" s="3"/>
      <c r="F72" s="2"/>
    </row>
    <row r="73" spans="1:6" x14ac:dyDescent="0.25">
      <c r="A73" s="95" t="s">
        <v>236</v>
      </c>
      <c r="B73" s="153">
        <v>15000</v>
      </c>
      <c r="C73" s="346">
        <f>'LWVCEF-Stmt of Fin. Pos. by mth'!AD102</f>
        <v>3000</v>
      </c>
      <c r="D73" s="3"/>
      <c r="E73" s="3"/>
      <c r="F73" s="2"/>
    </row>
    <row r="74" spans="1:6" x14ac:dyDescent="0.25">
      <c r="A74" s="95" t="s">
        <v>65</v>
      </c>
      <c r="B74" s="350">
        <f>+B54</f>
        <v>76987</v>
      </c>
      <c r="C74" s="346">
        <f>'LWVCEF-Stmt of Fin. Pos. by mth'!AD95</f>
        <v>67694.740000000005</v>
      </c>
      <c r="D74" s="3"/>
      <c r="E74" s="3"/>
      <c r="F74" s="2"/>
    </row>
    <row r="75" spans="1:6" x14ac:dyDescent="0.25">
      <c r="A75" s="95" t="s">
        <v>402</v>
      </c>
      <c r="B75" s="350">
        <f>+B52</f>
        <v>68787</v>
      </c>
      <c r="C75" s="346">
        <f>'LWVCEF-Stmt of Fin. Pos. by mth'!AD96</f>
        <v>44872.23</v>
      </c>
      <c r="D75" s="3"/>
      <c r="E75" s="3"/>
      <c r="F75" s="2"/>
    </row>
    <row r="76" spans="1:6" x14ac:dyDescent="0.25">
      <c r="A76" s="95" t="s">
        <v>443</v>
      </c>
      <c r="B76" s="153">
        <v>12898</v>
      </c>
      <c r="C76" s="346">
        <v>0</v>
      </c>
      <c r="D76" s="3"/>
      <c r="E76" s="3"/>
      <c r="F76" s="2"/>
    </row>
    <row r="77" spans="1:6" ht="15.75" thickBot="1" x14ac:dyDescent="0.3">
      <c r="A77" s="156" t="s">
        <v>60</v>
      </c>
      <c r="B77" s="305">
        <f>SUM(B70:B76)</f>
        <v>262864</v>
      </c>
      <c r="C77" s="347">
        <f>SUM(C70:C76)</f>
        <v>109576.94000000002</v>
      </c>
      <c r="D77" s="3"/>
      <c r="E77" s="3"/>
      <c r="F77" s="2"/>
    </row>
    <row r="81" spans="1:11" ht="15.75" thickBot="1" x14ac:dyDescent="0.3">
      <c r="A81" s="175" t="s">
        <v>472</v>
      </c>
      <c r="B81" s="176"/>
      <c r="C81" s="176"/>
      <c r="D81" s="176"/>
      <c r="E81" s="176"/>
      <c r="F81" s="117"/>
      <c r="J81" s="172"/>
      <c r="K81" s="3"/>
    </row>
    <row r="82" spans="1:11" x14ac:dyDescent="0.25">
      <c r="A82" s="177" t="s">
        <v>72</v>
      </c>
      <c r="B82" s="541" t="s">
        <v>73</v>
      </c>
      <c r="C82" s="541"/>
      <c r="D82" s="541"/>
      <c r="E82" s="178"/>
      <c r="F82" s="179"/>
      <c r="G82" s="300" t="s">
        <v>74</v>
      </c>
      <c r="H82" s="180"/>
      <c r="I82" s="180"/>
      <c r="J82" s="180"/>
      <c r="K82" s="181"/>
    </row>
    <row r="83" spans="1:11" ht="30" x14ac:dyDescent="0.25">
      <c r="A83" s="92"/>
      <c r="B83" s="182" t="s">
        <v>75</v>
      </c>
      <c r="C83" s="182" t="s">
        <v>76</v>
      </c>
      <c r="D83" s="182" t="s">
        <v>77</v>
      </c>
      <c r="E83" s="183" t="s">
        <v>78</v>
      </c>
      <c r="F83" s="184"/>
      <c r="G83" s="301" t="s">
        <v>79</v>
      </c>
      <c r="H83" s="185" t="s">
        <v>80</v>
      </c>
      <c r="I83" s="185" t="s">
        <v>81</v>
      </c>
      <c r="J83" s="183" t="s">
        <v>82</v>
      </c>
      <c r="K83" s="186" t="s">
        <v>83</v>
      </c>
    </row>
    <row r="84" spans="1:11" x14ac:dyDescent="0.25">
      <c r="A84" s="187" t="s">
        <v>84</v>
      </c>
      <c r="B84" s="188">
        <f>+'LWVCEF-Stmt of Activ. by Class'!J29</f>
        <v>8022</v>
      </c>
      <c r="C84" s="188">
        <f>+'LWVCEF-Stmt of Activ. by Class'!N29</f>
        <v>20131</v>
      </c>
      <c r="D84" s="297">
        <f>+'LWVCEF-Stmt of Activ. by Class'!V29</f>
        <v>75687</v>
      </c>
      <c r="E84" s="189">
        <f>SUM(B84:D84)</f>
        <v>103840</v>
      </c>
      <c r="F84" s="190"/>
      <c r="G84" s="302">
        <f>+'LWVCEF-Stmt of Activ. by Class'!AT29</f>
        <v>42560</v>
      </c>
      <c r="H84" s="188">
        <f>+'LWVCEF-Stmt of Activ. by Class'!BJ29+'LWVCEF-Stmt of Activ. by Class'!BN29+'LWVCEF-Stmt of Activ. by Class'!CD29</f>
        <v>100599</v>
      </c>
      <c r="I84" s="188">
        <f>+'LWVCEF-Stmt of Activ. by Class'!BB29</f>
        <v>45449</v>
      </c>
      <c r="J84" s="189">
        <f>SUM(G84:I84)</f>
        <v>188608</v>
      </c>
      <c r="K84" s="191">
        <f>+J84+E84</f>
        <v>292448</v>
      </c>
    </row>
    <row r="85" spans="1:11" x14ac:dyDescent="0.25">
      <c r="A85" s="187" t="s">
        <v>85</v>
      </c>
      <c r="B85" s="192">
        <f>+'LWVCEF-Stmt of Activ. by Class'!J40</f>
        <v>15005</v>
      </c>
      <c r="C85" s="188">
        <f>+'LWVCEF-Stmt of Activ. by Class'!N40</f>
        <v>43</v>
      </c>
      <c r="D85" s="298">
        <f>+'LWVCEF-Stmt of Activ. by Class'!V40</f>
        <v>553</v>
      </c>
      <c r="E85" s="189">
        <f>SUM(B85:D85)</f>
        <v>15601</v>
      </c>
      <c r="F85" s="190"/>
      <c r="G85" s="302">
        <f>+'LWVCEF-Stmt of Activ. by Class'!AT40</f>
        <v>18036</v>
      </c>
      <c r="H85" s="188">
        <f>+'LWVCEF-Stmt of Activ. by Class'!BR40+'LWVCEF-Stmt of Activ. by Class'!BN40+'LWVCEF-Stmt of Activ. by Class'!BJ40</f>
        <v>1577</v>
      </c>
      <c r="I85" s="192">
        <f>+'LWVCEF-Stmt of Activ. by Class'!BB40</f>
        <v>543</v>
      </c>
      <c r="J85" s="193">
        <f>SUM(G85:I85)</f>
        <v>20156</v>
      </c>
      <c r="K85" s="191">
        <f t="shared" ref="K85:K88" si="4">+J85+E85</f>
        <v>35757</v>
      </c>
    </row>
    <row r="86" spans="1:11" x14ac:dyDescent="0.25">
      <c r="A86" s="187" t="s">
        <v>86</v>
      </c>
      <c r="B86" s="192">
        <f>+'LWVCEF-Stmt of Activ. by Class'!J44+'LWVCEF-Stmt of Activ. by Class'!J43+'LWVCEF-Stmt of Activ. by Class'!J31</f>
        <v>378</v>
      </c>
      <c r="C86" s="192">
        <f>+'LWVCEF-Stmt of Activ. by Class'!N44+'LWVCEF-Stmt of Activ. by Class'!N43+'LWVCEF-Stmt of Activ. by Class'!N31</f>
        <v>21838</v>
      </c>
      <c r="D86" s="298">
        <f>+'LWVCEF-Stmt of Activ. by Class'!V44+'LWVCEF-Stmt of Activ. by Class'!V43+'LWVCEF-Stmt of Activ. by Class'!V31</f>
        <v>29037</v>
      </c>
      <c r="E86" s="189">
        <f>SUM(B86:D86)</f>
        <v>51253</v>
      </c>
      <c r="F86" s="190"/>
      <c r="G86" s="303">
        <f>+'LWVCEF-Stmt of Activ. by Class'!AT44+'LWVCEF-Stmt of Activ. by Class'!AT43+'LWVCEF-Stmt of Activ. by Class'!AT31</f>
        <v>52275</v>
      </c>
      <c r="H86" s="192">
        <f>+'LWVCEF-Stmt of Activ. by Class'!BR44+'LWVCEF-Stmt of Activ. by Class'!BR43+'LWVCEF-Stmt of Activ. by Class'!BN44+'LWVCEF-Stmt of Activ. by Class'!BN43+'LWVCEF-Stmt of Activ. by Class'!BJ44+'LWVCEF-Stmt of Activ. by Class'!BJ43</f>
        <v>34427</v>
      </c>
      <c r="I86" s="192">
        <f>+'LWVCEF-Stmt of Activ. by Class'!BB44+'LWVCEF-Stmt of Activ. by Class'!BB43+'LWVCEF-Stmt of Activ. by Class'!BB31</f>
        <v>31905</v>
      </c>
      <c r="J86" s="193">
        <f>SUM(G86:I86)</f>
        <v>118607</v>
      </c>
      <c r="K86" s="191">
        <f t="shared" si="4"/>
        <v>169860</v>
      </c>
    </row>
    <row r="87" spans="1:11" x14ac:dyDescent="0.25">
      <c r="A87" s="187" t="s">
        <v>87</v>
      </c>
      <c r="B87" s="194">
        <f>+B88-B84-B85-B86</f>
        <v>2185</v>
      </c>
      <c r="C87" s="194">
        <f>+C88-C86-C85-C84</f>
        <v>6337</v>
      </c>
      <c r="D87" s="299">
        <f>+D88-D86-D85-D84</f>
        <v>13681</v>
      </c>
      <c r="E87" s="195">
        <f>SUM(B87:D87)</f>
        <v>22203</v>
      </c>
      <c r="F87" s="190"/>
      <c r="G87" s="303">
        <f>+G88-G86-G85-G84</f>
        <v>13797</v>
      </c>
      <c r="H87" s="192">
        <f>+H88-H86-H84-H85</f>
        <v>51466</v>
      </c>
      <c r="I87" s="192">
        <f>+I88-I86-I85-I84</f>
        <v>34205</v>
      </c>
      <c r="J87" s="193">
        <f>SUM(G87:I87)</f>
        <v>99468</v>
      </c>
      <c r="K87" s="191">
        <f t="shared" si="4"/>
        <v>121671</v>
      </c>
    </row>
    <row r="88" spans="1:11" ht="15.75" thickBot="1" x14ac:dyDescent="0.3">
      <c r="A88" s="196" t="s">
        <v>88</v>
      </c>
      <c r="B88" s="197">
        <f>+'LWVCEF-Stmt of Activ. by Class'!J46</f>
        <v>25590</v>
      </c>
      <c r="C88" s="198">
        <f>+'LWVCEF-Stmt of Activ. by Class'!N46</f>
        <v>48349</v>
      </c>
      <c r="D88" s="198">
        <f>+'LWVCEF-Stmt of Activ. by Class'!V46</f>
        <v>118958</v>
      </c>
      <c r="E88" s="198">
        <f>SUM(B88:D88)</f>
        <v>192897</v>
      </c>
      <c r="F88" s="199"/>
      <c r="G88" s="304">
        <f>+'LWVCEF-Stmt of Activ. by Class'!AT46</f>
        <v>126668</v>
      </c>
      <c r="H88" s="197">
        <f>'LWVCEF-Stmt of Activ. by Class'!CD46+'LWVCEF-Stmt of Activ. by Class'!BN46+'LWVCEF-Stmt of Activ. by Class'!BJ46</f>
        <v>188069</v>
      </c>
      <c r="I88" s="197">
        <f>+'LWVCEF-Stmt of Activ. by Class'!BB46</f>
        <v>112102</v>
      </c>
      <c r="J88" s="198">
        <f>SUM(J84:J87)</f>
        <v>426839</v>
      </c>
      <c r="K88" s="220">
        <f t="shared" si="4"/>
        <v>619736</v>
      </c>
    </row>
    <row r="89" spans="1:11" ht="15.75" thickBot="1" x14ac:dyDescent="0.3">
      <c r="F89" s="200"/>
    </row>
    <row r="90" spans="1:11" x14ac:dyDescent="0.25">
      <c r="A90" s="201" t="s">
        <v>473</v>
      </c>
      <c r="B90" s="542" t="s">
        <v>73</v>
      </c>
      <c r="C90" s="542"/>
      <c r="D90" s="542"/>
      <c r="E90" s="202"/>
      <c r="F90" s="179"/>
      <c r="G90" s="203" t="s">
        <v>74</v>
      </c>
      <c r="H90" s="203"/>
      <c r="I90" s="203"/>
      <c r="J90" s="203"/>
      <c r="K90" s="204"/>
    </row>
    <row r="91" spans="1:11" ht="30" x14ac:dyDescent="0.25">
      <c r="A91" s="205"/>
      <c r="B91" s="206" t="s">
        <v>75</v>
      </c>
      <c r="C91" s="206" t="s">
        <v>76</v>
      </c>
      <c r="D91" s="206" t="s">
        <v>77</v>
      </c>
      <c r="E91" s="207" t="s">
        <v>78</v>
      </c>
      <c r="F91" s="184"/>
      <c r="G91" s="208" t="s">
        <v>79</v>
      </c>
      <c r="H91" s="208" t="s">
        <v>80</v>
      </c>
      <c r="I91" s="208" t="s">
        <v>81</v>
      </c>
      <c r="J91" s="207" t="s">
        <v>82</v>
      </c>
      <c r="K91" s="209" t="s">
        <v>83</v>
      </c>
    </row>
    <row r="92" spans="1:11" x14ac:dyDescent="0.25">
      <c r="A92" s="210" t="s">
        <v>84</v>
      </c>
      <c r="B92" s="334">
        <f>+'LWVCEF-Stmt of Activ. by Class'!H29</f>
        <v>769.27</v>
      </c>
      <c r="C92" s="334">
        <f>+'LWVCEF-Stmt of Activ. by Class'!L29</f>
        <v>6145.87</v>
      </c>
      <c r="D92" s="334">
        <f>+'LWVCEF-Stmt of Activ. by Class'!T29</f>
        <v>20629.82</v>
      </c>
      <c r="E92" s="211">
        <f>SUM(B92:D92)</f>
        <v>27544.959999999999</v>
      </c>
      <c r="F92" s="190"/>
      <c r="G92" s="334">
        <f>+'LWVCEF-Stmt of Activ. by Class'!AR29</f>
        <v>7590.95</v>
      </c>
      <c r="H92" s="334">
        <f>+'LWVCEF-Stmt of Activ. by Class'!BH29+'LWVCEF-Stmt of Activ. by Class'!BL29+'LWVCEF-Stmt of Activ. by Class'!CB29</f>
        <v>40125.259999999995</v>
      </c>
      <c r="I92" s="334">
        <f>+'LWVCEF-Stmt of Activ. by Class'!AZ29</f>
        <v>19751.349999999999</v>
      </c>
      <c r="J92" s="211">
        <f>SUM(G92:I92)</f>
        <v>67467.56</v>
      </c>
      <c r="K92" s="212">
        <f>+J92+E92</f>
        <v>95012.51999999999</v>
      </c>
    </row>
    <row r="93" spans="1:11" x14ac:dyDescent="0.25">
      <c r="A93" s="210" t="s">
        <v>85</v>
      </c>
      <c r="B93" s="335">
        <f>+'LWVCEF-Stmt of Activ. by Class'!H40</f>
        <v>5090.3500000000004</v>
      </c>
      <c r="C93" s="334">
        <f>+'LWVCEF-Stmt of Activ. by Class'!L40</f>
        <v>290.51</v>
      </c>
      <c r="D93" s="334">
        <f>+'LWVCEF-Stmt of Activ. by Class'!T40</f>
        <v>1162.6199999999999</v>
      </c>
      <c r="E93" s="211">
        <f>SUM(B93:D93)</f>
        <v>6543.4800000000005</v>
      </c>
      <c r="F93" s="190"/>
      <c r="G93" s="334">
        <f>+'LWVCEF-Stmt of Activ. by Class'!AR40</f>
        <v>1251.53</v>
      </c>
      <c r="H93" s="334">
        <f>+'LWVCEF-Stmt of Activ. by Class'!CB40+'LWVCEF-Stmt of Activ. by Class'!BL40+'LWVCEF-Stmt of Activ. by Class'!BH40</f>
        <v>1452.55</v>
      </c>
      <c r="I93" s="335">
        <f>+'LWVCEF-Stmt of Activ. by Class'!AZ40</f>
        <v>1.44</v>
      </c>
      <c r="J93" s="213">
        <f>SUM(G93:I93)</f>
        <v>2705.52</v>
      </c>
      <c r="K93" s="212">
        <f>+J93+E93</f>
        <v>9249</v>
      </c>
    </row>
    <row r="94" spans="1:11" x14ac:dyDescent="0.25">
      <c r="A94" s="210" t="s">
        <v>86</v>
      </c>
      <c r="B94" s="335">
        <f>+'LWVCEF-Stmt of Activ. by Class'!J44+'LWVCEF-Stmt of Activ. by Class'!J43+'LWVCEF-Stmt of Activ. by Class'!J31</f>
        <v>378</v>
      </c>
      <c r="C94" s="335">
        <f>+'LWVCEF-Stmt of Activ. by Class'!L44+'LWVCEF-Stmt of Activ. by Class'!L43+'LWVCEF-Stmt of Activ. by Class'!L31</f>
        <v>22360.04</v>
      </c>
      <c r="D94" s="335">
        <f>+'LWVCEF-Stmt of Activ. by Class'!T44+'LWVCEF-Stmt of Activ. by Class'!T43+'LWVCEF-Stmt of Activ. by Class'!T31</f>
        <v>10064.549999999999</v>
      </c>
      <c r="E94" s="211">
        <f>SUM(B94:D94)</f>
        <v>32802.589999999997</v>
      </c>
      <c r="F94" s="190"/>
      <c r="G94" s="335">
        <f>+'LWVCEF-Stmt of Activ. by Class'!AR44+'LWVCEF-Stmt of Activ. by Class'!AR43+'LWVCEF-Stmt of Activ. by Class'!AR31</f>
        <v>26764.62</v>
      </c>
      <c r="H94" s="335">
        <f>+'LWVCEF-Stmt of Activ. by Class'!CB44+'LWVCEF-Stmt of Activ. by Class'!CB43+'LWVCEF-Stmt of Activ. by Class'!BL44+'LWVCEF-Stmt of Activ. by Class'!BL43+'LWVCEF-Stmt of Activ. by Class'!BH44+'LWVCEF-Stmt of Activ. by Class'!BH43</f>
        <v>4561.1099999999997</v>
      </c>
      <c r="I94" s="335">
        <f>+'LWVCEF-Stmt of Activ. by Class'!AZ44+'LWVCEF-Stmt of Activ. by Class'!AZ43+'LWVCEF-Stmt of Activ. by Class'!AZ31</f>
        <v>1141.68</v>
      </c>
      <c r="J94" s="213">
        <f>SUM(G94:I94)</f>
        <v>32467.41</v>
      </c>
      <c r="K94" s="212">
        <f>+J94+E94</f>
        <v>65270</v>
      </c>
    </row>
    <row r="95" spans="1:11" x14ac:dyDescent="0.25">
      <c r="A95" s="210" t="s">
        <v>87</v>
      </c>
      <c r="B95" s="335">
        <f>+B96-B92-B93-B94</f>
        <v>2481.0299999999988</v>
      </c>
      <c r="C95" s="335">
        <f t="shared" ref="C95:D95" si="5">+C96-C92-C93-C94</f>
        <v>1907.630000000001</v>
      </c>
      <c r="D95" s="335">
        <f t="shared" si="5"/>
        <v>3614.0699999999997</v>
      </c>
      <c r="E95" s="211">
        <f>SUM(B95:D95)</f>
        <v>8002.73</v>
      </c>
      <c r="F95" s="190"/>
      <c r="G95" s="335">
        <f>+G96-G92-G93-G94</f>
        <v>1986.9300000000003</v>
      </c>
      <c r="H95" s="335">
        <f>+H96-H94-H93-H92</f>
        <v>5894.93</v>
      </c>
      <c r="I95" s="335">
        <f>+I96-I92-I93-I94</f>
        <v>2813.680000000003</v>
      </c>
      <c r="J95" s="213">
        <f>SUM(G95:I95)</f>
        <v>10695.540000000005</v>
      </c>
      <c r="K95" s="212">
        <f>+J95+E95</f>
        <v>18698.270000000004</v>
      </c>
    </row>
    <row r="96" spans="1:11" ht="15.75" thickBot="1" x14ac:dyDescent="0.3">
      <c r="A96" s="214" t="s">
        <v>89</v>
      </c>
      <c r="B96" s="215">
        <f>+'LWVCEF-Stmt of Activ. by Class'!H46</f>
        <v>8718.65</v>
      </c>
      <c r="C96" s="216">
        <f>+'LWVCEF-Stmt of Activ. by Class'!L46</f>
        <v>30704.05</v>
      </c>
      <c r="D96" s="216">
        <f>+'LWVCEF-Stmt of Activ. by Class'!T46</f>
        <v>35471.06</v>
      </c>
      <c r="E96" s="216">
        <f>SUM(B96:D96)</f>
        <v>74893.759999999995</v>
      </c>
      <c r="F96" s="199" t="s">
        <v>219</v>
      </c>
      <c r="G96" s="215">
        <f>+'LWVCEF-Stmt of Activ. by Class'!AR46</f>
        <v>37594.03</v>
      </c>
      <c r="H96" s="215">
        <f>+'LWVCEF-Stmt of Activ. by Class'!CB46+'LWVCEF-Stmt of Activ. by Class'!BL46+'LWVCEF-Stmt of Activ. by Class'!BH46</f>
        <v>52033.85</v>
      </c>
      <c r="I96" s="215">
        <f>+'LWVCEF-Stmt of Activ. by Class'!AZ46</f>
        <v>23708.15</v>
      </c>
      <c r="J96" s="216">
        <f>SUM(G96:I96)</f>
        <v>113336.03</v>
      </c>
      <c r="K96" s="217">
        <f>+J96+E96</f>
        <v>188229.78999999998</v>
      </c>
    </row>
    <row r="97" spans="1:13" ht="15.75" thickBot="1" x14ac:dyDescent="0.3">
      <c r="F97" s="200"/>
      <c r="L97" s="94"/>
    </row>
    <row r="98" spans="1:13" x14ac:dyDescent="0.25">
      <c r="A98" s="218" t="s">
        <v>474</v>
      </c>
      <c r="B98" s="541" t="s">
        <v>73</v>
      </c>
      <c r="C98" s="541"/>
      <c r="D98" s="541"/>
      <c r="E98" s="178"/>
      <c r="F98" s="179"/>
      <c r="G98" s="180" t="s">
        <v>74</v>
      </c>
      <c r="H98" s="180"/>
      <c r="I98" s="180"/>
      <c r="J98" s="180"/>
      <c r="K98" s="181"/>
    </row>
    <row r="99" spans="1:13" ht="30" x14ac:dyDescent="0.25">
      <c r="A99" s="92"/>
      <c r="B99" s="182" t="s">
        <v>75</v>
      </c>
      <c r="C99" s="182" t="s">
        <v>76</v>
      </c>
      <c r="D99" s="182" t="s">
        <v>77</v>
      </c>
      <c r="E99" s="183" t="s">
        <v>78</v>
      </c>
      <c r="F99" s="184"/>
      <c r="G99" s="185" t="s">
        <v>79</v>
      </c>
      <c r="H99" s="185" t="s">
        <v>80</v>
      </c>
      <c r="I99" s="185" t="s">
        <v>81</v>
      </c>
      <c r="J99" s="183" t="s">
        <v>82</v>
      </c>
      <c r="K99" s="186" t="s">
        <v>83</v>
      </c>
    </row>
    <row r="100" spans="1:13" x14ac:dyDescent="0.25">
      <c r="A100" s="187" t="s">
        <v>84</v>
      </c>
      <c r="B100" s="188">
        <f>+B84-B92</f>
        <v>7252.73</v>
      </c>
      <c r="C100" s="188">
        <f t="shared" ref="C100:K100" si="6">+C84-C92</f>
        <v>13985.130000000001</v>
      </c>
      <c r="D100" s="188">
        <f t="shared" si="6"/>
        <v>55057.18</v>
      </c>
      <c r="E100" s="189">
        <f>SUM(B100:D100)</f>
        <v>76295.040000000008</v>
      </c>
      <c r="F100" s="190"/>
      <c r="G100" s="188">
        <f t="shared" si="6"/>
        <v>34969.050000000003</v>
      </c>
      <c r="H100" s="188">
        <f t="shared" si="6"/>
        <v>60473.740000000005</v>
      </c>
      <c r="I100" s="188">
        <f t="shared" si="6"/>
        <v>25697.65</v>
      </c>
      <c r="J100" s="189">
        <f t="shared" si="6"/>
        <v>121140.44</v>
      </c>
      <c r="K100" s="219">
        <f t="shared" si="6"/>
        <v>197435.48</v>
      </c>
    </row>
    <row r="101" spans="1:13" x14ac:dyDescent="0.25">
      <c r="A101" s="187" t="s">
        <v>85</v>
      </c>
      <c r="B101" s="188">
        <f t="shared" ref="B101:K104" si="7">+B85-B93</f>
        <v>9914.65</v>
      </c>
      <c r="C101" s="188">
        <f t="shared" si="7"/>
        <v>-247.51</v>
      </c>
      <c r="D101" s="188">
        <f t="shared" si="7"/>
        <v>-609.61999999999989</v>
      </c>
      <c r="E101" s="189">
        <f>SUM(B101:D101)</f>
        <v>9057.52</v>
      </c>
      <c r="F101" s="190"/>
      <c r="G101" s="188">
        <f t="shared" si="7"/>
        <v>16784.47</v>
      </c>
      <c r="H101" s="188">
        <f t="shared" si="7"/>
        <v>124.45000000000005</v>
      </c>
      <c r="I101" s="188">
        <f t="shared" si="7"/>
        <v>541.55999999999995</v>
      </c>
      <c r="J101" s="189">
        <f t="shared" si="7"/>
        <v>17450.48</v>
      </c>
      <c r="K101" s="219">
        <f t="shared" si="7"/>
        <v>26508</v>
      </c>
    </row>
    <row r="102" spans="1:13" x14ac:dyDescent="0.25">
      <c r="A102" s="187" t="s">
        <v>86</v>
      </c>
      <c r="B102" s="188">
        <f t="shared" si="7"/>
        <v>0</v>
      </c>
      <c r="C102" s="188">
        <f t="shared" si="7"/>
        <v>-522.04000000000087</v>
      </c>
      <c r="D102" s="188">
        <f t="shared" si="7"/>
        <v>18972.45</v>
      </c>
      <c r="E102" s="189">
        <f>SUM(B102:D102)</f>
        <v>18450.41</v>
      </c>
      <c r="F102" s="190"/>
      <c r="G102" s="188">
        <f t="shared" si="7"/>
        <v>25510.38</v>
      </c>
      <c r="H102" s="188">
        <f t="shared" si="7"/>
        <v>29865.89</v>
      </c>
      <c r="I102" s="188">
        <f t="shared" si="7"/>
        <v>30763.32</v>
      </c>
      <c r="J102" s="189">
        <f t="shared" si="7"/>
        <v>86139.59</v>
      </c>
      <c r="K102" s="219">
        <f t="shared" si="7"/>
        <v>104590</v>
      </c>
    </row>
    <row r="103" spans="1:13" x14ac:dyDescent="0.25">
      <c r="A103" s="187" t="s">
        <v>87</v>
      </c>
      <c r="B103" s="188">
        <f t="shared" si="7"/>
        <v>-296.02999999999884</v>
      </c>
      <c r="C103" s="188">
        <f t="shared" si="7"/>
        <v>4429.369999999999</v>
      </c>
      <c r="D103" s="188">
        <f t="shared" si="7"/>
        <v>10066.93</v>
      </c>
      <c r="E103" s="195">
        <f>SUM(B103:D103)</f>
        <v>14200.27</v>
      </c>
      <c r="F103" s="190"/>
      <c r="G103" s="188">
        <f t="shared" si="7"/>
        <v>11810.07</v>
      </c>
      <c r="H103" s="188">
        <f t="shared" si="7"/>
        <v>45571.07</v>
      </c>
      <c r="I103" s="188">
        <f t="shared" si="7"/>
        <v>31391.319999999996</v>
      </c>
      <c r="J103" s="189">
        <f t="shared" si="7"/>
        <v>88772.459999999992</v>
      </c>
      <c r="K103" s="219">
        <f t="shared" si="7"/>
        <v>102972.73</v>
      </c>
    </row>
    <row r="104" spans="1:13" ht="15.75" thickBot="1" x14ac:dyDescent="0.3">
      <c r="A104" s="196" t="s">
        <v>90</v>
      </c>
      <c r="B104" s="197">
        <f>+B88-B96</f>
        <v>16871.349999999999</v>
      </c>
      <c r="C104" s="197">
        <f t="shared" si="7"/>
        <v>17644.95</v>
      </c>
      <c r="D104" s="197">
        <f t="shared" si="7"/>
        <v>83486.94</v>
      </c>
      <c r="E104" s="198">
        <f>SUM(B104:D104)</f>
        <v>118003.24</v>
      </c>
      <c r="F104" s="199"/>
      <c r="G104" s="197">
        <f t="shared" si="7"/>
        <v>89073.97</v>
      </c>
      <c r="H104" s="197">
        <f t="shared" si="7"/>
        <v>136035.15</v>
      </c>
      <c r="I104" s="197">
        <f t="shared" si="7"/>
        <v>88393.85</v>
      </c>
      <c r="J104" s="197">
        <f t="shared" si="7"/>
        <v>313502.96999999997</v>
      </c>
      <c r="K104" s="220">
        <f t="shared" si="7"/>
        <v>431506.21</v>
      </c>
    </row>
    <row r="105" spans="1:13" ht="15.75" thickBot="1" x14ac:dyDescent="0.3">
      <c r="F105" s="200"/>
    </row>
    <row r="106" spans="1:13" x14ac:dyDescent="0.25">
      <c r="A106" s="218" t="s">
        <v>475</v>
      </c>
      <c r="B106" s="541" t="s">
        <v>73</v>
      </c>
      <c r="C106" s="541"/>
      <c r="D106" s="541"/>
      <c r="E106" s="221"/>
      <c r="F106" s="179"/>
      <c r="G106" s="180" t="s">
        <v>74</v>
      </c>
      <c r="H106" s="180"/>
      <c r="I106" s="180"/>
      <c r="J106" s="180"/>
      <c r="K106" s="222"/>
    </row>
    <row r="107" spans="1:13" ht="30" x14ac:dyDescent="0.25">
      <c r="A107" s="92"/>
      <c r="B107" s="182" t="s">
        <v>75</v>
      </c>
      <c r="C107" s="182" t="s">
        <v>76</v>
      </c>
      <c r="D107" s="182" t="s">
        <v>77</v>
      </c>
      <c r="E107" s="183" t="s">
        <v>78</v>
      </c>
      <c r="F107" s="184"/>
      <c r="G107" s="185" t="s">
        <v>79</v>
      </c>
      <c r="H107" s="185" t="s">
        <v>80</v>
      </c>
      <c r="I107" s="185" t="s">
        <v>81</v>
      </c>
      <c r="J107" s="183" t="s">
        <v>82</v>
      </c>
      <c r="K107" s="186" t="s">
        <v>83</v>
      </c>
    </row>
    <row r="108" spans="1:13" x14ac:dyDescent="0.25">
      <c r="A108" s="187" t="s">
        <v>84</v>
      </c>
      <c r="B108" s="223">
        <f>+B92/B84</f>
        <v>9.5895038643729738E-2</v>
      </c>
      <c r="C108" s="223">
        <f t="shared" ref="C108:K112" si="8">+C92/C84</f>
        <v>0.3052938254433461</v>
      </c>
      <c r="D108" s="223">
        <f t="shared" si="8"/>
        <v>0.27256754792764937</v>
      </c>
      <c r="E108" s="224">
        <f t="shared" si="8"/>
        <v>0.26526348228043145</v>
      </c>
      <c r="F108" s="225"/>
      <c r="G108" s="224">
        <f t="shared" si="8"/>
        <v>0.17835878759398496</v>
      </c>
      <c r="H108" s="224">
        <f t="shared" si="8"/>
        <v>0.39886340818497196</v>
      </c>
      <c r="I108" s="224">
        <f t="shared" si="8"/>
        <v>0.43458271909172919</v>
      </c>
      <c r="J108" s="224">
        <f t="shared" si="8"/>
        <v>0.35771314048184594</v>
      </c>
      <c r="K108" s="226">
        <f t="shared" si="8"/>
        <v>0.32488688587372794</v>
      </c>
      <c r="M108" s="223"/>
    </row>
    <row r="109" spans="1:13" x14ac:dyDescent="0.25">
      <c r="A109" s="187" t="s">
        <v>85</v>
      </c>
      <c r="B109" s="223">
        <f t="shared" ref="B109:K112" si="9">+B93/B85</f>
        <v>0.33924358547150951</v>
      </c>
      <c r="C109" s="223">
        <f t="shared" si="9"/>
        <v>6.7560465116279067</v>
      </c>
      <c r="D109" s="223">
        <f t="shared" si="9"/>
        <v>2.1023869801084989</v>
      </c>
      <c r="E109" s="224">
        <f t="shared" si="8"/>
        <v>0.41942695981026862</v>
      </c>
      <c r="F109" s="225"/>
      <c r="G109" s="223" t="s">
        <v>91</v>
      </c>
      <c r="H109" s="223">
        <f t="shared" si="9"/>
        <v>0.92108433734939754</v>
      </c>
      <c r="I109" s="223">
        <f>+I93/I85</f>
        <v>2.6519337016574587E-3</v>
      </c>
      <c r="J109" s="224">
        <f t="shared" si="9"/>
        <v>0.13422901369319309</v>
      </c>
      <c r="K109" s="226">
        <f t="shared" si="9"/>
        <v>0.25866263948317814</v>
      </c>
    </row>
    <row r="110" spans="1:13" x14ac:dyDescent="0.25">
      <c r="A110" s="187" t="s">
        <v>86</v>
      </c>
      <c r="B110" s="223">
        <f t="shared" si="9"/>
        <v>1</v>
      </c>
      <c r="C110" s="223">
        <f t="shared" si="9"/>
        <v>1.0239051195164393</v>
      </c>
      <c r="D110" s="223">
        <f t="shared" si="9"/>
        <v>0.34661122016737261</v>
      </c>
      <c r="E110" s="224">
        <f t="shared" si="8"/>
        <v>0.64001307240551764</v>
      </c>
      <c r="F110" s="225"/>
      <c r="G110" s="223">
        <f t="shared" si="9"/>
        <v>0.51199655667144905</v>
      </c>
      <c r="H110" s="223">
        <f t="shared" si="9"/>
        <v>0.13248642054201643</v>
      </c>
      <c r="I110" s="223">
        <f>+I94/I86</f>
        <v>3.5783732957216742E-2</v>
      </c>
      <c r="J110" s="224">
        <f t="shared" si="9"/>
        <v>0.27373940829799254</v>
      </c>
      <c r="K110" s="226">
        <f t="shared" si="9"/>
        <v>0.38425762392558577</v>
      </c>
    </row>
    <row r="111" spans="1:13" x14ac:dyDescent="0.25">
      <c r="A111" s="187" t="s">
        <v>87</v>
      </c>
      <c r="B111" s="224">
        <f t="shared" si="9"/>
        <v>1.1354828375286037</v>
      </c>
      <c r="C111" s="224">
        <f t="shared" si="9"/>
        <v>0.30103045605175965</v>
      </c>
      <c r="D111" s="224">
        <f t="shared" si="9"/>
        <v>0.26416709304875374</v>
      </c>
      <c r="E111" s="224">
        <f t="shared" si="8"/>
        <v>0.36043462595144798</v>
      </c>
      <c r="F111" s="225"/>
      <c r="G111" s="224">
        <f t="shared" si="9"/>
        <v>0.14401174168297459</v>
      </c>
      <c r="H111" s="224">
        <f t="shared" si="9"/>
        <v>0.11454027901915828</v>
      </c>
      <c r="I111" s="224">
        <f>+I95/I87</f>
        <v>8.225931881303912E-2</v>
      </c>
      <c r="J111" s="224">
        <f t="shared" si="9"/>
        <v>0.10752744601278807</v>
      </c>
      <c r="K111" s="226">
        <f t="shared" si="9"/>
        <v>0.15367893746250136</v>
      </c>
    </row>
    <row r="112" spans="1:13" ht="15.75" thickBot="1" x14ac:dyDescent="0.3">
      <c r="A112" s="196" t="s">
        <v>92</v>
      </c>
      <c r="B112" s="227">
        <f t="shared" si="9"/>
        <v>0.34070535365377097</v>
      </c>
      <c r="C112" s="227">
        <f t="shared" si="9"/>
        <v>0.63505036298579076</v>
      </c>
      <c r="D112" s="227">
        <f t="shared" si="9"/>
        <v>0.29818137493905411</v>
      </c>
      <c r="E112" s="227">
        <f t="shared" si="8"/>
        <v>0.388257774874674</v>
      </c>
      <c r="F112" s="225"/>
      <c r="G112" s="227">
        <f t="shared" si="9"/>
        <v>0.29679184955947829</v>
      </c>
      <c r="H112" s="227">
        <f t="shared" si="9"/>
        <v>0.27667425253497385</v>
      </c>
      <c r="I112" s="227">
        <f t="shared" si="9"/>
        <v>0.21148730620327916</v>
      </c>
      <c r="J112" s="227">
        <f t="shared" si="9"/>
        <v>0.26552407347969609</v>
      </c>
      <c r="K112" s="228">
        <f t="shared" si="9"/>
        <v>0.30372576387364941</v>
      </c>
      <c r="L112" s="223"/>
    </row>
  </sheetData>
  <mergeCells count="4">
    <mergeCell ref="B82:D82"/>
    <mergeCell ref="B90:D90"/>
    <mergeCell ref="B98:D98"/>
    <mergeCell ref="B106:D106"/>
  </mergeCells>
  <pageMargins left="0.25" right="0.25" top="0.75" bottom="0.75" header="0.3" footer="0.3"/>
  <pageSetup scale="80" orientation="landscape" r:id="rId1"/>
  <rowBreaks count="1" manualBreakCount="1">
    <brk id="7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W49"/>
  <sheetViews>
    <sheetView workbookViewId="0">
      <pane xSplit="7" ySplit="3" topLeftCell="AI4" activePane="bottomRight" state="frozenSplit"/>
      <selection pane="topRight" activeCell="H1" sqref="H1"/>
      <selection pane="bottomLeft" activeCell="A4" sqref="A4"/>
      <selection pane="bottomRight" activeCell="BN20" sqref="BN20"/>
    </sheetView>
  </sheetViews>
  <sheetFormatPr defaultRowHeight="15" x14ac:dyDescent="0.25"/>
  <cols>
    <col min="1" max="6" width="1.5703125" style="491" customWidth="1"/>
    <col min="7" max="7" width="29.7109375" style="491" customWidth="1"/>
    <col min="8" max="8" width="10" style="492" bestFit="1" customWidth="1"/>
    <col min="9" max="9" width="2.28515625" style="492" customWidth="1"/>
    <col min="10" max="10" width="8.42578125" style="492" bestFit="1" customWidth="1"/>
    <col min="11" max="11" width="2.28515625" style="492" customWidth="1"/>
    <col min="12" max="12" width="10" style="492" bestFit="1" customWidth="1"/>
    <col min="13" max="13" width="2.28515625" style="492" customWidth="1"/>
    <col min="14" max="14" width="8.42578125" style="492" bestFit="1" customWidth="1"/>
    <col min="15" max="15" width="2.28515625" style="492" customWidth="1"/>
    <col min="16" max="16" width="10" style="492" bestFit="1" customWidth="1"/>
    <col min="17" max="17" width="2.28515625" style="492" customWidth="1"/>
    <col min="18" max="18" width="8.42578125" style="492" bestFit="1" customWidth="1"/>
    <col min="19" max="19" width="2.28515625" style="492" customWidth="1"/>
    <col min="20" max="20" width="10" style="492" bestFit="1" customWidth="1"/>
    <col min="21" max="21" width="2.28515625" style="492" customWidth="1"/>
    <col min="22" max="22" width="8.7109375" style="492" bestFit="1" customWidth="1"/>
    <col min="23" max="23" width="2.28515625" style="492" customWidth="1"/>
    <col min="24" max="24" width="10" style="492" customWidth="1"/>
    <col min="25" max="25" width="2.28515625" style="492" customWidth="1"/>
    <col min="26" max="34" width="6.5703125" style="492" customWidth="1"/>
    <col min="35" max="35" width="2.28515625" style="492" customWidth="1"/>
    <col min="36" max="36" width="10" style="492" bestFit="1" customWidth="1"/>
    <col min="37" max="37" width="2.28515625" style="492" customWidth="1"/>
    <col min="38" max="38" width="8.42578125" style="492" bestFit="1" customWidth="1"/>
    <col min="39" max="39" width="2.28515625" style="492" customWidth="1"/>
    <col min="40" max="40" width="11" style="492" customWidth="1"/>
    <col min="41" max="41" width="2.28515625" style="492" customWidth="1"/>
    <col min="42" max="42" width="11.85546875" style="492" customWidth="1"/>
    <col min="43" max="43" width="2.28515625" style="492" customWidth="1"/>
    <col min="44" max="44" width="11.42578125" style="492" customWidth="1"/>
    <col min="45" max="45" width="2.28515625" style="492" customWidth="1"/>
    <col min="46" max="46" width="8.7109375" style="492" bestFit="1" customWidth="1"/>
    <col min="47" max="47" width="2.28515625" style="492" customWidth="1"/>
    <col min="48" max="48" width="10" style="492" hidden="1" customWidth="1"/>
    <col min="49" max="49" width="2.28515625" style="492" hidden="1" customWidth="1"/>
    <col min="50" max="50" width="6.5703125" style="492" hidden="1" customWidth="1"/>
    <col min="51" max="51" width="2.28515625" style="492" hidden="1" customWidth="1"/>
    <col min="52" max="52" width="10" style="492" bestFit="1" customWidth="1"/>
    <col min="53" max="53" width="2.28515625" style="492" customWidth="1"/>
    <col min="54" max="54" width="8.7109375" style="492" bestFit="1" customWidth="1"/>
    <col min="55" max="55" width="2.28515625" style="492" customWidth="1"/>
    <col min="56" max="56" width="10" style="492" hidden="1" customWidth="1"/>
    <col min="57" max="57" width="2.28515625" style="492" hidden="1" customWidth="1"/>
    <col min="58" max="58" width="8.7109375" style="492" hidden="1" customWidth="1"/>
    <col min="59" max="59" width="2.28515625" style="492" hidden="1" customWidth="1"/>
    <col min="60" max="60" width="10" style="492" bestFit="1" customWidth="1"/>
    <col min="61" max="61" width="2.28515625" style="492" customWidth="1"/>
    <col min="62" max="62" width="8.42578125" style="492" bestFit="1" customWidth="1"/>
    <col min="63" max="63" width="2.28515625" style="492" customWidth="1"/>
    <col min="64" max="64" width="10" style="492" bestFit="1" customWidth="1"/>
    <col min="65" max="65" width="2.28515625" style="492" customWidth="1"/>
    <col min="66" max="66" width="7.85546875" style="492" bestFit="1" customWidth="1"/>
    <col min="67" max="67" width="2.28515625" style="492" customWidth="1"/>
    <col min="68" max="68" width="10" style="492" bestFit="1" customWidth="1"/>
    <col min="69" max="69" width="2.28515625" style="492" customWidth="1"/>
    <col min="70" max="70" width="8.7109375" style="492" bestFit="1" customWidth="1"/>
    <col min="71" max="71" width="2.28515625" style="492" customWidth="1"/>
    <col min="72" max="72" width="10" style="492" hidden="1" customWidth="1"/>
    <col min="73" max="73" width="2.28515625" style="492" hidden="1" customWidth="1"/>
    <col min="74" max="74" width="6.5703125" style="492" hidden="1" customWidth="1"/>
    <col min="75" max="75" width="2.28515625" style="492" hidden="1" customWidth="1"/>
    <col min="76" max="76" width="10" style="492" hidden="1" customWidth="1"/>
    <col min="77" max="77" width="2.28515625" style="492" hidden="1" customWidth="1"/>
    <col min="78" max="78" width="8.7109375" style="492" hidden="1" customWidth="1"/>
    <col min="79" max="79" width="2.28515625" style="492" hidden="1" customWidth="1"/>
    <col min="80" max="80" width="10" style="492" bestFit="1" customWidth="1"/>
    <col min="81" max="81" width="2.28515625" style="492" customWidth="1"/>
    <col min="82" max="82" width="8.7109375" style="492" bestFit="1" customWidth="1"/>
    <col min="83" max="83" width="2.28515625" style="492" customWidth="1"/>
    <col min="84" max="84" width="10" style="492" bestFit="1" customWidth="1"/>
    <col min="85" max="85" width="2.28515625" style="492" customWidth="1"/>
    <col min="86" max="86" width="8.7109375" style="492" bestFit="1" customWidth="1"/>
    <col min="87" max="91" width="2.28515625" style="492" customWidth="1"/>
    <col min="92" max="92" width="10" style="492" bestFit="1" customWidth="1"/>
    <col min="93" max="93" width="2.28515625" style="492" customWidth="1"/>
    <col min="94" max="94" width="8.7109375" style="492" bestFit="1" customWidth="1"/>
    <col min="95" max="97" width="8.7109375" style="492" customWidth="1"/>
    <col min="98" max="98" width="11.42578125" style="490" customWidth="1"/>
    <col min="99" max="99" width="10.7109375" style="490" customWidth="1"/>
    <col min="100" max="100" width="11.140625" style="490" customWidth="1"/>
    <col min="101" max="16384" width="9.140625" style="490"/>
  </cols>
  <sheetData>
    <row r="1" spans="1:99" x14ac:dyDescent="0.25">
      <c r="A1" s="496"/>
      <c r="B1" s="496"/>
      <c r="C1" s="496"/>
      <c r="D1" s="496"/>
      <c r="E1" s="496"/>
      <c r="F1" s="496"/>
      <c r="G1" s="496"/>
      <c r="H1" s="311" t="s">
        <v>121</v>
      </c>
      <c r="I1" s="312"/>
      <c r="J1" s="312"/>
      <c r="K1" s="313"/>
      <c r="L1" s="311" t="s">
        <v>122</v>
      </c>
      <c r="M1" s="312"/>
      <c r="N1" s="312"/>
      <c r="O1" s="313"/>
      <c r="P1" s="312"/>
      <c r="Q1" s="312"/>
      <c r="R1" s="312"/>
      <c r="S1" s="313"/>
      <c r="T1" s="312"/>
      <c r="U1" s="312"/>
      <c r="V1" s="312"/>
      <c r="W1" s="313"/>
      <c r="X1" s="311" t="s">
        <v>437</v>
      </c>
      <c r="Y1" s="312"/>
      <c r="Z1" s="312"/>
      <c r="AA1" s="312" t="s">
        <v>494</v>
      </c>
      <c r="AB1" s="312"/>
      <c r="AC1" s="312"/>
      <c r="AD1" s="312"/>
      <c r="AE1" s="312" t="s">
        <v>495</v>
      </c>
      <c r="AF1" s="312"/>
      <c r="AG1" s="312"/>
      <c r="AH1" s="312"/>
      <c r="AI1" s="313"/>
      <c r="AJ1" s="311" t="s">
        <v>412</v>
      </c>
      <c r="AK1" s="312"/>
      <c r="AL1" s="312"/>
      <c r="AM1" s="313"/>
      <c r="AN1" s="311" t="s">
        <v>415</v>
      </c>
      <c r="AO1" s="312"/>
      <c r="AP1" s="312"/>
      <c r="AQ1" s="313"/>
      <c r="AR1" s="311" t="s">
        <v>241</v>
      </c>
      <c r="AS1" s="312"/>
      <c r="AT1" s="312"/>
      <c r="AU1" s="313"/>
      <c r="AV1" s="311" t="s">
        <v>242</v>
      </c>
      <c r="AW1" s="312"/>
      <c r="AX1" s="312"/>
      <c r="AY1" s="313"/>
      <c r="AZ1" s="311" t="s">
        <v>438</v>
      </c>
      <c r="BA1" s="312"/>
      <c r="BB1" s="312"/>
      <c r="BC1" s="313"/>
      <c r="BD1" s="311" t="s">
        <v>243</v>
      </c>
      <c r="BE1" s="312"/>
      <c r="BF1" s="312"/>
      <c r="BG1" s="313"/>
      <c r="BH1" s="311" t="s">
        <v>244</v>
      </c>
      <c r="BI1" s="312"/>
      <c r="BJ1" s="312"/>
      <c r="BK1" s="313"/>
      <c r="BL1" s="311" t="s">
        <v>245</v>
      </c>
      <c r="BM1" s="312"/>
      <c r="BN1" s="312"/>
      <c r="BO1" s="313"/>
      <c r="BP1" s="311" t="s">
        <v>246</v>
      </c>
      <c r="BQ1" s="312"/>
      <c r="BR1" s="312"/>
      <c r="BS1" s="313"/>
      <c r="BT1" s="311" t="s">
        <v>247</v>
      </c>
      <c r="BU1" s="312"/>
      <c r="BV1" s="312"/>
      <c r="BW1" s="313"/>
      <c r="BX1" s="311" t="s">
        <v>248</v>
      </c>
      <c r="BY1" s="312"/>
      <c r="BZ1" s="312"/>
      <c r="CA1" s="313"/>
      <c r="CB1" s="311" t="s">
        <v>249</v>
      </c>
      <c r="CC1" s="312"/>
      <c r="CD1" s="312"/>
      <c r="CE1" s="313"/>
      <c r="CF1" s="312"/>
      <c r="CG1" s="312"/>
      <c r="CH1" s="312"/>
      <c r="CI1" s="313"/>
      <c r="CJ1" s="313"/>
      <c r="CK1" s="313"/>
      <c r="CL1" s="313"/>
      <c r="CM1" s="313"/>
      <c r="CN1" s="312"/>
      <c r="CO1" s="312"/>
      <c r="CP1" s="312"/>
      <c r="CQ1" s="312"/>
      <c r="CR1" s="312"/>
      <c r="CS1" s="312"/>
    </row>
    <row r="2" spans="1:99" ht="15.75" thickBot="1" x14ac:dyDescent="0.3">
      <c r="A2" s="496"/>
      <c r="B2" s="496"/>
      <c r="C2" s="496"/>
      <c r="D2" s="496"/>
      <c r="E2" s="496"/>
      <c r="F2" s="496"/>
      <c r="G2" s="496"/>
      <c r="H2" s="311" t="s">
        <v>134</v>
      </c>
      <c r="I2" s="314"/>
      <c r="J2" s="312"/>
      <c r="K2" s="313"/>
      <c r="L2" s="311" t="s">
        <v>134</v>
      </c>
      <c r="M2" s="314"/>
      <c r="N2" s="312"/>
      <c r="O2" s="313"/>
      <c r="P2" s="311" t="s">
        <v>135</v>
      </c>
      <c r="Q2" s="314"/>
      <c r="R2" s="312"/>
      <c r="S2" s="313"/>
      <c r="T2" s="311" t="s">
        <v>136</v>
      </c>
      <c r="U2" s="314"/>
      <c r="V2" s="312"/>
      <c r="W2" s="313"/>
      <c r="X2" s="311" t="s">
        <v>250</v>
      </c>
      <c r="Y2" s="314"/>
      <c r="Z2" s="312"/>
      <c r="AA2" s="312" t="s">
        <v>250</v>
      </c>
      <c r="AB2" s="312"/>
      <c r="AC2" s="312"/>
      <c r="AD2" s="312"/>
      <c r="AE2" s="312" t="s">
        <v>250</v>
      </c>
      <c r="AF2" s="312"/>
      <c r="AG2" s="312"/>
      <c r="AH2" s="312"/>
      <c r="AI2" s="313"/>
      <c r="AJ2" s="311" t="s">
        <v>250</v>
      </c>
      <c r="AK2" s="314"/>
      <c r="AL2" s="312"/>
      <c r="AM2" s="313"/>
      <c r="AN2" s="311" t="s">
        <v>250</v>
      </c>
      <c r="AO2" s="314"/>
      <c r="AP2" s="312"/>
      <c r="AQ2" s="313"/>
      <c r="AR2" s="311" t="s">
        <v>138</v>
      </c>
      <c r="AS2" s="314"/>
      <c r="AT2" s="312"/>
      <c r="AU2" s="313"/>
      <c r="AV2" s="311" t="s">
        <v>251</v>
      </c>
      <c r="AW2" s="314"/>
      <c r="AX2" s="312"/>
      <c r="AY2" s="313"/>
      <c r="AZ2" s="311" t="s">
        <v>251</v>
      </c>
      <c r="BA2" s="314"/>
      <c r="BB2" s="312"/>
      <c r="BC2" s="313"/>
      <c r="BD2" s="311" t="s">
        <v>252</v>
      </c>
      <c r="BE2" s="314"/>
      <c r="BF2" s="312"/>
      <c r="BG2" s="313"/>
      <c r="BH2" s="311" t="s">
        <v>252</v>
      </c>
      <c r="BI2" s="314"/>
      <c r="BJ2" s="312"/>
      <c r="BK2" s="313"/>
      <c r="BL2" s="311" t="s">
        <v>252</v>
      </c>
      <c r="BM2" s="314"/>
      <c r="BN2" s="312"/>
      <c r="BO2" s="313"/>
      <c r="BP2" s="311" t="s">
        <v>138</v>
      </c>
      <c r="BQ2" s="314"/>
      <c r="BR2" s="312"/>
      <c r="BS2" s="313"/>
      <c r="BT2" s="311" t="s">
        <v>253</v>
      </c>
      <c r="BU2" s="314"/>
      <c r="BV2" s="312"/>
      <c r="BW2" s="313"/>
      <c r="BX2" s="311" t="s">
        <v>253</v>
      </c>
      <c r="BY2" s="314"/>
      <c r="BZ2" s="312"/>
      <c r="CA2" s="313"/>
      <c r="CB2" s="311" t="s">
        <v>138</v>
      </c>
      <c r="CC2" s="314"/>
      <c r="CD2" s="312"/>
      <c r="CE2" s="313"/>
      <c r="CF2" s="311" t="s">
        <v>141</v>
      </c>
      <c r="CG2" s="314"/>
      <c r="CH2" s="312"/>
      <c r="CI2" s="313"/>
      <c r="CJ2" s="313"/>
      <c r="CK2" s="313"/>
      <c r="CL2" s="313"/>
      <c r="CM2" s="313"/>
      <c r="CN2" s="311" t="s">
        <v>145</v>
      </c>
      <c r="CO2" s="314"/>
      <c r="CP2" s="312"/>
      <c r="CQ2" s="312"/>
      <c r="CR2" s="312"/>
      <c r="CS2" s="312"/>
    </row>
    <row r="3" spans="1:99" s="494" customFormat="1" ht="16.5" thickTop="1" thickBot="1" x14ac:dyDescent="0.3">
      <c r="A3" s="493"/>
      <c r="B3" s="493"/>
      <c r="C3" s="493"/>
      <c r="D3" s="493"/>
      <c r="E3" s="493"/>
      <c r="F3" s="493"/>
      <c r="G3" s="493"/>
      <c r="H3" s="316" t="s">
        <v>463</v>
      </c>
      <c r="I3" s="317"/>
      <c r="J3" s="316" t="s">
        <v>33</v>
      </c>
      <c r="K3" s="317"/>
      <c r="L3" s="316" t="s">
        <v>463</v>
      </c>
      <c r="M3" s="317"/>
      <c r="N3" s="316" t="s">
        <v>33</v>
      </c>
      <c r="O3" s="317"/>
      <c r="P3" s="316" t="s">
        <v>463</v>
      </c>
      <c r="Q3" s="317"/>
      <c r="R3" s="316" t="s">
        <v>33</v>
      </c>
      <c r="S3" s="317"/>
      <c r="T3" s="316" t="s">
        <v>463</v>
      </c>
      <c r="U3" s="317"/>
      <c r="V3" s="316" t="s">
        <v>33</v>
      </c>
      <c r="W3" s="317"/>
      <c r="X3" s="316" t="s">
        <v>463</v>
      </c>
      <c r="Y3" s="317"/>
      <c r="Z3" s="316" t="s">
        <v>33</v>
      </c>
      <c r="AA3" s="495" t="s">
        <v>493</v>
      </c>
      <c r="AB3" s="495"/>
      <c r="AC3" s="495" t="s">
        <v>33</v>
      </c>
      <c r="AD3" s="495"/>
      <c r="AE3" s="495" t="s">
        <v>493</v>
      </c>
      <c r="AF3" s="495"/>
      <c r="AG3" s="495" t="s">
        <v>33</v>
      </c>
      <c r="AH3" s="495"/>
      <c r="AI3" s="317"/>
      <c r="AJ3" s="316" t="s">
        <v>463</v>
      </c>
      <c r="AK3" s="317"/>
      <c r="AL3" s="316" t="s">
        <v>33</v>
      </c>
      <c r="AM3" s="317"/>
      <c r="AN3" s="316" t="s">
        <v>463</v>
      </c>
      <c r="AO3" s="317"/>
      <c r="AP3" s="316" t="s">
        <v>33</v>
      </c>
      <c r="AQ3" s="317"/>
      <c r="AR3" s="316" t="s">
        <v>463</v>
      </c>
      <c r="AS3" s="317"/>
      <c r="AT3" s="316" t="s">
        <v>33</v>
      </c>
      <c r="AU3" s="317"/>
      <c r="AV3" s="316" t="s">
        <v>463</v>
      </c>
      <c r="AW3" s="317"/>
      <c r="AX3" s="316" t="s">
        <v>33</v>
      </c>
      <c r="AY3" s="317"/>
      <c r="AZ3" s="316" t="s">
        <v>463</v>
      </c>
      <c r="BA3" s="317"/>
      <c r="BB3" s="316" t="s">
        <v>33</v>
      </c>
      <c r="BC3" s="317"/>
      <c r="BD3" s="316" t="s">
        <v>463</v>
      </c>
      <c r="BE3" s="317"/>
      <c r="BF3" s="316" t="s">
        <v>33</v>
      </c>
      <c r="BG3" s="317"/>
      <c r="BH3" s="316" t="s">
        <v>463</v>
      </c>
      <c r="BI3" s="317"/>
      <c r="BJ3" s="316" t="s">
        <v>33</v>
      </c>
      <c r="BK3" s="317"/>
      <c r="BL3" s="316" t="s">
        <v>463</v>
      </c>
      <c r="BM3" s="317"/>
      <c r="BN3" s="316" t="s">
        <v>33</v>
      </c>
      <c r="BO3" s="317"/>
      <c r="BP3" s="316" t="s">
        <v>463</v>
      </c>
      <c r="BQ3" s="317"/>
      <c r="BR3" s="316" t="s">
        <v>33</v>
      </c>
      <c r="BS3" s="317"/>
      <c r="BT3" s="316" t="s">
        <v>463</v>
      </c>
      <c r="BU3" s="317"/>
      <c r="BV3" s="316" t="s">
        <v>33</v>
      </c>
      <c r="BW3" s="317"/>
      <c r="BX3" s="316" t="s">
        <v>463</v>
      </c>
      <c r="BY3" s="317"/>
      <c r="BZ3" s="316" t="s">
        <v>33</v>
      </c>
      <c r="CA3" s="317"/>
      <c r="CB3" s="316" t="s">
        <v>463</v>
      </c>
      <c r="CC3" s="317"/>
      <c r="CD3" s="316" t="s">
        <v>33</v>
      </c>
      <c r="CE3" s="317"/>
      <c r="CF3" s="316" t="s">
        <v>463</v>
      </c>
      <c r="CG3" s="317"/>
      <c r="CH3" s="316" t="s">
        <v>33</v>
      </c>
      <c r="CI3" s="317"/>
      <c r="CJ3" s="317"/>
      <c r="CK3" s="317"/>
      <c r="CL3" s="317"/>
      <c r="CM3" s="317"/>
      <c r="CN3" s="316" t="s">
        <v>493</v>
      </c>
      <c r="CO3" s="317"/>
      <c r="CP3" s="316" t="s">
        <v>33</v>
      </c>
      <c r="CQ3" s="495" t="s">
        <v>439</v>
      </c>
      <c r="CR3" s="495" t="s">
        <v>440</v>
      </c>
      <c r="CS3" s="495"/>
      <c r="CT3" s="494" t="s">
        <v>42</v>
      </c>
      <c r="CU3" s="494" t="s">
        <v>61</v>
      </c>
    </row>
    <row r="4" spans="1:99" ht="15.75" thickTop="1" x14ac:dyDescent="0.25">
      <c r="A4" s="496"/>
      <c r="B4" s="496" t="s">
        <v>146</v>
      </c>
      <c r="C4" s="496"/>
      <c r="D4" s="496"/>
      <c r="E4" s="496"/>
      <c r="F4" s="496"/>
      <c r="G4" s="496"/>
      <c r="H4" s="499"/>
      <c r="I4" s="319"/>
      <c r="J4" s="499"/>
      <c r="K4" s="319"/>
      <c r="L4" s="499"/>
      <c r="M4" s="319"/>
      <c r="N4" s="499"/>
      <c r="O4" s="319"/>
      <c r="P4" s="499"/>
      <c r="Q4" s="319"/>
      <c r="R4" s="499"/>
      <c r="S4" s="319"/>
      <c r="T4" s="499"/>
      <c r="U4" s="319"/>
      <c r="V4" s="499"/>
      <c r="W4" s="319"/>
      <c r="X4" s="49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499"/>
      <c r="AK4" s="319"/>
      <c r="AL4" s="499"/>
      <c r="AM4" s="319"/>
      <c r="AN4" s="499"/>
      <c r="AO4" s="319"/>
      <c r="AP4" s="499"/>
      <c r="AQ4" s="319"/>
      <c r="AR4" s="499"/>
      <c r="AS4" s="319"/>
      <c r="AT4" s="499"/>
      <c r="AU4" s="319"/>
      <c r="AV4" s="499"/>
      <c r="AW4" s="319"/>
      <c r="AX4" s="319"/>
      <c r="AY4" s="319"/>
      <c r="AZ4" s="499"/>
      <c r="BA4" s="319"/>
      <c r="BB4" s="499"/>
      <c r="BC4" s="319"/>
      <c r="BD4" s="499"/>
      <c r="BE4" s="319"/>
      <c r="BF4" s="499"/>
      <c r="BG4" s="319"/>
      <c r="BH4" s="499"/>
      <c r="BI4" s="319"/>
      <c r="BJ4" s="499"/>
      <c r="BK4" s="319"/>
      <c r="BL4" s="499"/>
      <c r="BM4" s="319"/>
      <c r="BN4" s="499"/>
      <c r="BO4" s="319"/>
      <c r="BP4" s="499"/>
      <c r="BQ4" s="319"/>
      <c r="BR4" s="499"/>
      <c r="BS4" s="319"/>
      <c r="BT4" s="499"/>
      <c r="BU4" s="319"/>
      <c r="BV4" s="319"/>
      <c r="BW4" s="319"/>
      <c r="BX4" s="499"/>
      <c r="BY4" s="319"/>
      <c r="BZ4" s="499"/>
      <c r="CA4" s="319"/>
      <c r="CB4" s="499"/>
      <c r="CC4" s="319"/>
      <c r="CD4" s="499"/>
      <c r="CE4" s="319"/>
      <c r="CF4" s="499"/>
      <c r="CG4" s="319"/>
      <c r="CH4" s="499"/>
      <c r="CI4" s="319"/>
      <c r="CJ4" s="319"/>
      <c r="CK4" s="319"/>
      <c r="CL4" s="319"/>
      <c r="CM4" s="319"/>
      <c r="CN4" s="499"/>
      <c r="CO4" s="319"/>
      <c r="CP4" s="499"/>
      <c r="CQ4" s="499"/>
      <c r="CR4" s="499"/>
      <c r="CS4" s="499"/>
    </row>
    <row r="5" spans="1:99" x14ac:dyDescent="0.25">
      <c r="A5" s="496"/>
      <c r="B5" s="496"/>
      <c r="C5" s="496"/>
      <c r="D5" s="496" t="s">
        <v>147</v>
      </c>
      <c r="E5" s="496"/>
      <c r="F5" s="496"/>
      <c r="G5" s="496"/>
      <c r="H5" s="499"/>
      <c r="I5" s="319"/>
      <c r="J5" s="499"/>
      <c r="K5" s="319"/>
      <c r="L5" s="499"/>
      <c r="M5" s="319"/>
      <c r="N5" s="499"/>
      <c r="O5" s="319"/>
      <c r="P5" s="499"/>
      <c r="Q5" s="319"/>
      <c r="R5" s="499"/>
      <c r="S5" s="319"/>
      <c r="T5" s="499"/>
      <c r="U5" s="319"/>
      <c r="V5" s="499"/>
      <c r="W5" s="319"/>
      <c r="X5" s="49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499"/>
      <c r="AK5" s="319"/>
      <c r="AL5" s="499"/>
      <c r="AM5" s="319"/>
      <c r="AN5" s="499"/>
      <c r="AO5" s="319"/>
      <c r="AP5" s="499"/>
      <c r="AQ5" s="319"/>
      <c r="AR5" s="499"/>
      <c r="AS5" s="319"/>
      <c r="AT5" s="499"/>
      <c r="AU5" s="319"/>
      <c r="AV5" s="499"/>
      <c r="AW5" s="319"/>
      <c r="AX5" s="319"/>
      <c r="AY5" s="319"/>
      <c r="AZ5" s="499"/>
      <c r="BA5" s="319"/>
      <c r="BB5" s="499"/>
      <c r="BC5" s="319"/>
      <c r="BD5" s="499"/>
      <c r="BE5" s="319"/>
      <c r="BF5" s="499"/>
      <c r="BG5" s="319"/>
      <c r="BH5" s="499"/>
      <c r="BI5" s="319"/>
      <c r="BJ5" s="499"/>
      <c r="BK5" s="319"/>
      <c r="BL5" s="499"/>
      <c r="BM5" s="319"/>
      <c r="BN5" s="499"/>
      <c r="BO5" s="319"/>
      <c r="BP5" s="499"/>
      <c r="BQ5" s="319"/>
      <c r="BR5" s="499"/>
      <c r="BS5" s="319"/>
      <c r="BT5" s="499"/>
      <c r="BU5" s="319"/>
      <c r="BV5" s="319"/>
      <c r="BW5" s="319"/>
      <c r="BX5" s="499"/>
      <c r="BY5" s="319"/>
      <c r="BZ5" s="499"/>
      <c r="CA5" s="319"/>
      <c r="CB5" s="499"/>
      <c r="CC5" s="319"/>
      <c r="CD5" s="499"/>
      <c r="CE5" s="319"/>
      <c r="CF5" s="499"/>
      <c r="CG5" s="319"/>
      <c r="CH5" s="499"/>
      <c r="CI5" s="319"/>
      <c r="CJ5" s="319"/>
      <c r="CK5" s="319"/>
      <c r="CL5" s="319"/>
      <c r="CM5" s="319"/>
      <c r="CN5" s="499"/>
      <c r="CO5" s="319"/>
      <c r="CP5" s="499"/>
      <c r="CQ5" s="499"/>
      <c r="CR5" s="499"/>
      <c r="CS5" s="499"/>
    </row>
    <row r="6" spans="1:99" x14ac:dyDescent="0.25">
      <c r="A6" s="496"/>
      <c r="B6" s="496"/>
      <c r="C6" s="496"/>
      <c r="D6" s="496"/>
      <c r="E6" s="496" t="s">
        <v>153</v>
      </c>
      <c r="F6" s="496"/>
      <c r="G6" s="496"/>
      <c r="H6" s="499"/>
      <c r="I6" s="319"/>
      <c r="J6" s="499"/>
      <c r="K6" s="319"/>
      <c r="L6" s="499"/>
      <c r="M6" s="319"/>
      <c r="N6" s="499"/>
      <c r="O6" s="319"/>
      <c r="P6" s="499"/>
      <c r="Q6" s="319"/>
      <c r="R6" s="499"/>
      <c r="S6" s="319"/>
      <c r="T6" s="499"/>
      <c r="U6" s="319"/>
      <c r="V6" s="499"/>
      <c r="W6" s="319"/>
      <c r="X6" s="49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499"/>
      <c r="AK6" s="319"/>
      <c r="AL6" s="499"/>
      <c r="AM6" s="319"/>
      <c r="AN6" s="499"/>
      <c r="AO6" s="319"/>
      <c r="AP6" s="499"/>
      <c r="AQ6" s="319"/>
      <c r="AR6" s="499"/>
      <c r="AS6" s="319"/>
      <c r="AT6" s="499"/>
      <c r="AU6" s="319"/>
      <c r="AV6" s="499"/>
      <c r="AW6" s="319"/>
      <c r="AX6" s="319"/>
      <c r="AY6" s="319"/>
      <c r="AZ6" s="499"/>
      <c r="BA6" s="319"/>
      <c r="BB6" s="499"/>
      <c r="BC6" s="319"/>
      <c r="BD6" s="499"/>
      <c r="BE6" s="319"/>
      <c r="BF6" s="499"/>
      <c r="BG6" s="319"/>
      <c r="BH6" s="499"/>
      <c r="BI6" s="319"/>
      <c r="BJ6" s="499"/>
      <c r="BK6" s="319"/>
      <c r="BL6" s="499"/>
      <c r="BM6" s="319"/>
      <c r="BN6" s="499"/>
      <c r="BO6" s="319"/>
      <c r="BP6" s="499"/>
      <c r="BQ6" s="319"/>
      <c r="BR6" s="499"/>
      <c r="BS6" s="319"/>
      <c r="BT6" s="499"/>
      <c r="BU6" s="319"/>
      <c r="BV6" s="319"/>
      <c r="BW6" s="319"/>
      <c r="BX6" s="499"/>
      <c r="BY6" s="319"/>
      <c r="BZ6" s="499"/>
      <c r="CA6" s="319"/>
      <c r="CB6" s="499"/>
      <c r="CC6" s="319"/>
      <c r="CD6" s="499"/>
      <c r="CE6" s="319"/>
      <c r="CF6" s="499"/>
      <c r="CG6" s="319"/>
      <c r="CH6" s="499"/>
      <c r="CI6" s="319"/>
      <c r="CJ6" s="319"/>
      <c r="CK6" s="319"/>
      <c r="CL6" s="319"/>
      <c r="CM6" s="319"/>
      <c r="CN6" s="499"/>
      <c r="CO6" s="319"/>
      <c r="CP6" s="499"/>
      <c r="CQ6" s="499"/>
      <c r="CR6" s="499"/>
      <c r="CS6" s="499"/>
    </row>
    <row r="7" spans="1:99" x14ac:dyDescent="0.25">
      <c r="A7" s="496"/>
      <c r="B7" s="496"/>
      <c r="C7" s="496"/>
      <c r="D7" s="496"/>
      <c r="E7" s="496"/>
      <c r="F7" s="496" t="s">
        <v>199</v>
      </c>
      <c r="G7" s="496"/>
      <c r="H7" s="499"/>
      <c r="I7" s="319"/>
      <c r="J7" s="499"/>
      <c r="K7" s="319"/>
      <c r="L7" s="499"/>
      <c r="M7" s="319"/>
      <c r="N7" s="499"/>
      <c r="O7" s="319"/>
      <c r="P7" s="499"/>
      <c r="Q7" s="319"/>
      <c r="R7" s="499"/>
      <c r="S7" s="319"/>
      <c r="T7" s="499"/>
      <c r="U7" s="319"/>
      <c r="V7" s="499"/>
      <c r="W7" s="319"/>
      <c r="X7" s="49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499"/>
      <c r="AK7" s="319"/>
      <c r="AL7" s="499"/>
      <c r="AM7" s="319"/>
      <c r="AN7" s="499"/>
      <c r="AO7" s="319"/>
      <c r="AP7" s="499"/>
      <c r="AQ7" s="319"/>
      <c r="AR7" s="499"/>
      <c r="AS7" s="319"/>
      <c r="AT7" s="499"/>
      <c r="AU7" s="319"/>
      <c r="AV7" s="499"/>
      <c r="AW7" s="319"/>
      <c r="AX7" s="319"/>
      <c r="AY7" s="319"/>
      <c r="AZ7" s="499"/>
      <c r="BA7" s="319"/>
      <c r="BB7" s="499"/>
      <c r="BC7" s="319"/>
      <c r="BD7" s="499"/>
      <c r="BE7" s="319"/>
      <c r="BF7" s="499"/>
      <c r="BG7" s="319"/>
      <c r="BH7" s="499"/>
      <c r="BI7" s="319"/>
      <c r="BJ7" s="499"/>
      <c r="BK7" s="319"/>
      <c r="BL7" s="499"/>
      <c r="BM7" s="319"/>
      <c r="BN7" s="499"/>
      <c r="BO7" s="319"/>
      <c r="BP7" s="499"/>
      <c r="BQ7" s="319"/>
      <c r="BR7" s="499"/>
      <c r="BS7" s="319"/>
      <c r="BT7" s="499"/>
      <c r="BU7" s="319"/>
      <c r="BV7" s="319"/>
      <c r="BW7" s="319"/>
      <c r="BX7" s="499"/>
      <c r="BY7" s="319"/>
      <c r="BZ7" s="499"/>
      <c r="CA7" s="319"/>
      <c r="CB7" s="499"/>
      <c r="CC7" s="319"/>
      <c r="CD7" s="499"/>
      <c r="CE7" s="319"/>
      <c r="CF7" s="499"/>
      <c r="CG7" s="319"/>
      <c r="CH7" s="499"/>
      <c r="CI7" s="319"/>
      <c r="CJ7" s="319"/>
      <c r="CK7" s="319"/>
      <c r="CL7" s="319"/>
      <c r="CM7" s="319"/>
      <c r="CN7" s="499"/>
      <c r="CO7" s="319"/>
      <c r="CP7" s="499"/>
      <c r="CQ7" s="499"/>
      <c r="CR7" s="499"/>
      <c r="CS7" s="499"/>
    </row>
    <row r="8" spans="1:99" ht="15.75" thickBot="1" x14ac:dyDescent="0.3">
      <c r="A8" s="496"/>
      <c r="B8" s="496"/>
      <c r="C8" s="496"/>
      <c r="D8" s="496"/>
      <c r="E8" s="496"/>
      <c r="F8" s="496"/>
      <c r="G8" s="496" t="s">
        <v>200</v>
      </c>
      <c r="H8" s="320">
        <v>0</v>
      </c>
      <c r="I8" s="319"/>
      <c r="J8" s="499"/>
      <c r="K8" s="319"/>
      <c r="L8" s="320">
        <v>8692.25</v>
      </c>
      <c r="M8" s="319"/>
      <c r="N8" s="320">
        <v>9400</v>
      </c>
      <c r="O8" s="319"/>
      <c r="P8" s="320">
        <v>8692.25</v>
      </c>
      <c r="Q8" s="319"/>
      <c r="R8" s="320">
        <v>9400</v>
      </c>
      <c r="S8" s="319"/>
      <c r="T8" s="320">
        <v>0</v>
      </c>
      <c r="U8" s="319"/>
      <c r="V8" s="499"/>
      <c r="W8" s="319"/>
      <c r="X8" s="320">
        <v>0</v>
      </c>
      <c r="Y8" s="319"/>
      <c r="Z8" s="319"/>
      <c r="AA8" s="319"/>
      <c r="AB8" s="319">
        <v>0</v>
      </c>
      <c r="AC8" s="319"/>
      <c r="AD8" s="319"/>
      <c r="AE8" s="319"/>
      <c r="AF8" s="319">
        <v>0</v>
      </c>
      <c r="AG8" s="319"/>
      <c r="AH8" s="319"/>
      <c r="AI8" s="319"/>
      <c r="AJ8" s="320">
        <v>0</v>
      </c>
      <c r="AK8" s="319"/>
      <c r="AL8" s="499"/>
      <c r="AM8" s="319"/>
      <c r="AN8" s="320">
        <v>0</v>
      </c>
      <c r="AO8" s="319"/>
      <c r="AP8" s="499"/>
      <c r="AQ8" s="319"/>
      <c r="AR8" s="320">
        <v>0</v>
      </c>
      <c r="AS8" s="319"/>
      <c r="AT8" s="499"/>
      <c r="AU8" s="319"/>
      <c r="AV8" s="320">
        <v>0</v>
      </c>
      <c r="AW8" s="319"/>
      <c r="AX8" s="319"/>
      <c r="AY8" s="319"/>
      <c r="AZ8" s="320">
        <v>0</v>
      </c>
      <c r="BA8" s="319"/>
      <c r="BB8" s="499"/>
      <c r="BC8" s="319"/>
      <c r="BD8" s="320">
        <v>0</v>
      </c>
      <c r="BE8" s="319"/>
      <c r="BF8" s="499"/>
      <c r="BG8" s="319"/>
      <c r="BH8" s="320">
        <v>0</v>
      </c>
      <c r="BI8" s="319"/>
      <c r="BJ8" s="499"/>
      <c r="BK8" s="319"/>
      <c r="BL8" s="320">
        <v>0</v>
      </c>
      <c r="BM8" s="319"/>
      <c r="BN8" s="499"/>
      <c r="BO8" s="319"/>
      <c r="BP8" s="320">
        <v>0</v>
      </c>
      <c r="BQ8" s="319"/>
      <c r="BR8" s="499"/>
      <c r="BS8" s="319"/>
      <c r="BT8" s="320">
        <v>0</v>
      </c>
      <c r="BU8" s="319"/>
      <c r="BV8" s="319"/>
      <c r="BW8" s="319"/>
      <c r="BX8" s="320">
        <v>0</v>
      </c>
      <c r="BY8" s="319"/>
      <c r="BZ8" s="499"/>
      <c r="CA8" s="319"/>
      <c r="CB8" s="320">
        <v>0</v>
      </c>
      <c r="CC8" s="319"/>
      <c r="CD8" s="499"/>
      <c r="CE8" s="319"/>
      <c r="CF8" s="320">
        <v>0</v>
      </c>
      <c r="CG8" s="319"/>
      <c r="CH8" s="499"/>
      <c r="CI8" s="319"/>
      <c r="CJ8" s="319"/>
      <c r="CK8" s="319"/>
      <c r="CL8" s="319"/>
      <c r="CM8" s="319"/>
      <c r="CN8" s="320">
        <v>8692.25</v>
      </c>
      <c r="CO8" s="319"/>
      <c r="CP8" s="320">
        <v>9400</v>
      </c>
      <c r="CQ8" s="497">
        <f>+CP8</f>
        <v>9400</v>
      </c>
      <c r="CR8" s="497"/>
      <c r="CS8" s="497">
        <f>SUM(CQ8:CR8)</f>
        <v>9400</v>
      </c>
      <c r="CT8" s="126">
        <f>CN8</f>
        <v>8692.25</v>
      </c>
    </row>
    <row r="9" spans="1:99" x14ac:dyDescent="0.25">
      <c r="A9" s="496"/>
      <c r="B9" s="496"/>
      <c r="C9" s="496"/>
      <c r="D9" s="496"/>
      <c r="E9" s="496"/>
      <c r="F9" s="496" t="s">
        <v>201</v>
      </c>
      <c r="G9" s="496"/>
      <c r="H9" s="499">
        <v>0</v>
      </c>
      <c r="I9" s="319"/>
      <c r="J9" s="499"/>
      <c r="K9" s="319"/>
      <c r="L9" s="499">
        <v>8692.25</v>
      </c>
      <c r="M9" s="319"/>
      <c r="N9" s="499">
        <v>9400</v>
      </c>
      <c r="O9" s="319"/>
      <c r="P9" s="499">
        <v>8692.25</v>
      </c>
      <c r="Q9" s="319"/>
      <c r="R9" s="499">
        <v>9400</v>
      </c>
      <c r="S9" s="319"/>
      <c r="T9" s="499">
        <v>0</v>
      </c>
      <c r="U9" s="319"/>
      <c r="V9" s="499"/>
      <c r="W9" s="319"/>
      <c r="X9" s="499">
        <v>0</v>
      </c>
      <c r="Y9" s="319"/>
      <c r="Z9" s="319"/>
      <c r="AA9" s="319"/>
      <c r="AB9" s="319">
        <v>0</v>
      </c>
      <c r="AC9" s="319"/>
      <c r="AD9" s="319"/>
      <c r="AE9" s="319"/>
      <c r="AF9" s="319">
        <v>0</v>
      </c>
      <c r="AG9" s="319"/>
      <c r="AH9" s="319"/>
      <c r="AI9" s="319"/>
      <c r="AJ9" s="499">
        <v>0</v>
      </c>
      <c r="AK9" s="319"/>
      <c r="AL9" s="499"/>
      <c r="AM9" s="319"/>
      <c r="AN9" s="499">
        <v>0</v>
      </c>
      <c r="AO9" s="319"/>
      <c r="AP9" s="499"/>
      <c r="AQ9" s="319"/>
      <c r="AR9" s="499">
        <v>0</v>
      </c>
      <c r="AS9" s="319"/>
      <c r="AT9" s="499"/>
      <c r="AU9" s="319"/>
      <c r="AV9" s="499">
        <v>0</v>
      </c>
      <c r="AW9" s="319"/>
      <c r="AX9" s="319"/>
      <c r="AY9" s="319"/>
      <c r="AZ9" s="499">
        <v>0</v>
      </c>
      <c r="BA9" s="319"/>
      <c r="BB9" s="499"/>
      <c r="BC9" s="319"/>
      <c r="BD9" s="499">
        <v>0</v>
      </c>
      <c r="BE9" s="319"/>
      <c r="BF9" s="499"/>
      <c r="BG9" s="319"/>
      <c r="BH9" s="499">
        <v>0</v>
      </c>
      <c r="BI9" s="319"/>
      <c r="BJ9" s="499"/>
      <c r="BK9" s="319"/>
      <c r="BL9" s="499">
        <v>0</v>
      </c>
      <c r="BM9" s="319"/>
      <c r="BN9" s="499"/>
      <c r="BO9" s="319"/>
      <c r="BP9" s="499">
        <v>0</v>
      </c>
      <c r="BQ9" s="319"/>
      <c r="BR9" s="499"/>
      <c r="BS9" s="319"/>
      <c r="BT9" s="499">
        <v>0</v>
      </c>
      <c r="BU9" s="319"/>
      <c r="BV9" s="319"/>
      <c r="BW9" s="319"/>
      <c r="BX9" s="499">
        <v>0</v>
      </c>
      <c r="BY9" s="319"/>
      <c r="BZ9" s="499"/>
      <c r="CA9" s="319"/>
      <c r="CB9" s="499">
        <v>0</v>
      </c>
      <c r="CC9" s="319"/>
      <c r="CD9" s="499"/>
      <c r="CE9" s="319"/>
      <c r="CF9" s="499">
        <v>0</v>
      </c>
      <c r="CG9" s="319"/>
      <c r="CH9" s="499"/>
      <c r="CI9" s="319"/>
      <c r="CJ9" s="319"/>
      <c r="CK9" s="319"/>
      <c r="CL9" s="319"/>
      <c r="CM9" s="319"/>
      <c r="CN9" s="499">
        <v>8692.25</v>
      </c>
      <c r="CO9" s="319"/>
      <c r="CP9" s="499">
        <v>9400</v>
      </c>
      <c r="CQ9" s="499"/>
      <c r="CR9" s="499"/>
      <c r="CS9" s="499"/>
    </row>
    <row r="10" spans="1:99" x14ac:dyDescent="0.25">
      <c r="A10" s="496"/>
      <c r="B10" s="496"/>
      <c r="C10" s="496"/>
      <c r="D10" s="496"/>
      <c r="E10" s="496"/>
      <c r="F10" s="496" t="s">
        <v>202</v>
      </c>
      <c r="G10" s="496"/>
      <c r="H10" s="499">
        <v>0</v>
      </c>
      <c r="I10" s="319"/>
      <c r="J10" s="499"/>
      <c r="K10" s="319"/>
      <c r="L10" s="499">
        <v>0</v>
      </c>
      <c r="M10" s="319"/>
      <c r="N10" s="499"/>
      <c r="O10" s="319"/>
      <c r="P10" s="499">
        <v>0</v>
      </c>
      <c r="Q10" s="319"/>
      <c r="R10" s="499"/>
      <c r="S10" s="319"/>
      <c r="T10" s="499">
        <v>0</v>
      </c>
      <c r="U10" s="319"/>
      <c r="V10" s="499"/>
      <c r="W10" s="319"/>
      <c r="X10" s="499">
        <v>0</v>
      </c>
      <c r="Y10" s="319"/>
      <c r="Z10" s="319"/>
      <c r="AA10" s="319"/>
      <c r="AB10" s="319">
        <v>0</v>
      </c>
      <c r="AC10" s="319"/>
      <c r="AD10" s="319"/>
      <c r="AE10" s="319"/>
      <c r="AF10" s="319">
        <v>0</v>
      </c>
      <c r="AG10" s="319"/>
      <c r="AH10" s="319"/>
      <c r="AI10" s="319"/>
      <c r="AJ10" s="499">
        <v>0</v>
      </c>
      <c r="AK10" s="319"/>
      <c r="AL10" s="499"/>
      <c r="AM10" s="319"/>
      <c r="AN10" s="499">
        <v>0</v>
      </c>
      <c r="AO10" s="319"/>
      <c r="AP10" s="499"/>
      <c r="AQ10" s="319"/>
      <c r="AR10" s="499">
        <v>0</v>
      </c>
      <c r="AS10" s="319"/>
      <c r="AT10" s="499"/>
      <c r="AU10" s="319"/>
      <c r="AV10" s="499">
        <v>0</v>
      </c>
      <c r="AW10" s="319"/>
      <c r="AX10" s="319"/>
      <c r="AY10" s="319"/>
      <c r="AZ10" s="499">
        <v>0</v>
      </c>
      <c r="BA10" s="319"/>
      <c r="BB10" s="499"/>
      <c r="BC10" s="319"/>
      <c r="BD10" s="499">
        <v>0</v>
      </c>
      <c r="BE10" s="319"/>
      <c r="BF10" s="499"/>
      <c r="BG10" s="319"/>
      <c r="BH10" s="499">
        <v>0</v>
      </c>
      <c r="BI10" s="319"/>
      <c r="BJ10" s="499"/>
      <c r="BK10" s="319"/>
      <c r="BL10" s="499">
        <v>0</v>
      </c>
      <c r="BM10" s="319"/>
      <c r="BN10" s="499">
        <v>0</v>
      </c>
      <c r="BO10" s="319"/>
      <c r="BP10" s="499">
        <v>0</v>
      </c>
      <c r="BQ10" s="319"/>
      <c r="BR10" s="499">
        <v>0</v>
      </c>
      <c r="BS10" s="319"/>
      <c r="BT10" s="499">
        <v>0</v>
      </c>
      <c r="BU10" s="319"/>
      <c r="BV10" s="319"/>
      <c r="BW10" s="319"/>
      <c r="BX10" s="499">
        <v>1200</v>
      </c>
      <c r="BY10" s="319"/>
      <c r="BZ10" s="499">
        <v>25000</v>
      </c>
      <c r="CA10" s="319"/>
      <c r="CB10" s="499">
        <v>1200</v>
      </c>
      <c r="CC10" s="319"/>
      <c r="CD10" s="499">
        <v>25000</v>
      </c>
      <c r="CE10" s="319"/>
      <c r="CF10" s="499">
        <v>1200</v>
      </c>
      <c r="CG10" s="319"/>
      <c r="CH10" s="499">
        <v>25000</v>
      </c>
      <c r="CI10" s="319"/>
      <c r="CJ10" s="319"/>
      <c r="CK10" s="319"/>
      <c r="CL10" s="319"/>
      <c r="CM10" s="319"/>
      <c r="CN10" s="499">
        <v>1200</v>
      </c>
      <c r="CO10" s="319"/>
      <c r="CP10" s="499">
        <v>25000</v>
      </c>
      <c r="CQ10" s="499"/>
      <c r="CR10" s="499">
        <f>+CP10</f>
        <v>25000</v>
      </c>
      <c r="CS10" s="499">
        <f>SUM(CQ10:CR10)</f>
        <v>25000</v>
      </c>
      <c r="CU10" s="126">
        <f>CN10</f>
        <v>1200</v>
      </c>
    </row>
    <row r="11" spans="1:99" x14ac:dyDescent="0.25">
      <c r="A11" s="496"/>
      <c r="B11" s="496"/>
      <c r="C11" s="496"/>
      <c r="D11" s="496"/>
      <c r="E11" s="496"/>
      <c r="F11" s="496" t="s">
        <v>203</v>
      </c>
      <c r="G11" s="496"/>
      <c r="H11" s="499">
        <v>0</v>
      </c>
      <c r="I11" s="319"/>
      <c r="J11" s="499"/>
      <c r="K11" s="319"/>
      <c r="L11" s="499">
        <v>0</v>
      </c>
      <c r="M11" s="319"/>
      <c r="N11" s="499"/>
      <c r="O11" s="319"/>
      <c r="P11" s="499">
        <v>0</v>
      </c>
      <c r="Q11" s="319"/>
      <c r="R11" s="499"/>
      <c r="S11" s="319"/>
      <c r="T11" s="499">
        <v>34689.22</v>
      </c>
      <c r="U11" s="319"/>
      <c r="V11" s="499">
        <v>155000</v>
      </c>
      <c r="W11" s="319"/>
      <c r="X11" s="499">
        <v>0</v>
      </c>
      <c r="Y11" s="319"/>
      <c r="Z11" s="319"/>
      <c r="AA11" s="319"/>
      <c r="AB11" s="319">
        <v>0</v>
      </c>
      <c r="AC11" s="319"/>
      <c r="AD11" s="319"/>
      <c r="AE11" s="319"/>
      <c r="AF11" s="319">
        <v>0</v>
      </c>
      <c r="AG11" s="319"/>
      <c r="AH11" s="319"/>
      <c r="AI11" s="319"/>
      <c r="AJ11" s="499">
        <v>0</v>
      </c>
      <c r="AK11" s="319"/>
      <c r="AL11" s="499"/>
      <c r="AM11" s="319"/>
      <c r="AN11" s="499">
        <v>0</v>
      </c>
      <c r="AO11" s="319"/>
      <c r="AP11" s="499"/>
      <c r="AQ11" s="319"/>
      <c r="AR11" s="499">
        <v>0</v>
      </c>
      <c r="AS11" s="319"/>
      <c r="AT11" s="499"/>
      <c r="AU11" s="319"/>
      <c r="AV11" s="499">
        <v>0</v>
      </c>
      <c r="AW11" s="319"/>
      <c r="AX11" s="319"/>
      <c r="AY11" s="319"/>
      <c r="AZ11" s="499">
        <v>0</v>
      </c>
      <c r="BA11" s="319"/>
      <c r="BB11" s="499"/>
      <c r="BC11" s="319"/>
      <c r="BD11" s="499">
        <v>0</v>
      </c>
      <c r="BE11" s="319"/>
      <c r="BF11" s="499"/>
      <c r="BG11" s="319"/>
      <c r="BH11" s="499">
        <v>0</v>
      </c>
      <c r="BI11" s="319"/>
      <c r="BJ11" s="499"/>
      <c r="BK11" s="319"/>
      <c r="BL11" s="499">
        <v>0</v>
      </c>
      <c r="BM11" s="319"/>
      <c r="BN11" s="499"/>
      <c r="BO11" s="319"/>
      <c r="BP11" s="499">
        <v>0</v>
      </c>
      <c r="BQ11" s="319"/>
      <c r="BR11" s="499"/>
      <c r="BS11" s="319"/>
      <c r="BT11" s="499">
        <v>0</v>
      </c>
      <c r="BU11" s="319"/>
      <c r="BV11" s="319"/>
      <c r="BW11" s="319"/>
      <c r="BX11" s="499">
        <v>0</v>
      </c>
      <c r="BY11" s="319"/>
      <c r="BZ11" s="499"/>
      <c r="CA11" s="319"/>
      <c r="CB11" s="499">
        <v>0</v>
      </c>
      <c r="CC11" s="319"/>
      <c r="CD11" s="499"/>
      <c r="CE11" s="319"/>
      <c r="CF11" s="499">
        <v>0</v>
      </c>
      <c r="CG11" s="319"/>
      <c r="CH11" s="499"/>
      <c r="CI11" s="319"/>
      <c r="CJ11" s="319"/>
      <c r="CK11" s="319"/>
      <c r="CL11" s="319"/>
      <c r="CM11" s="319"/>
      <c r="CN11" s="499">
        <v>34689.22</v>
      </c>
      <c r="CO11" s="319"/>
      <c r="CP11" s="499">
        <v>155000</v>
      </c>
      <c r="CQ11" s="499">
        <f>+CP11</f>
        <v>155000</v>
      </c>
      <c r="CR11" s="499"/>
      <c r="CS11" s="499">
        <f>SUM(CQ11:CR11)</f>
        <v>155000</v>
      </c>
      <c r="CT11" s="126">
        <f>CN11</f>
        <v>34689.22</v>
      </c>
    </row>
    <row r="12" spans="1:99" x14ac:dyDescent="0.25">
      <c r="A12" s="496"/>
      <c r="B12" s="496"/>
      <c r="C12" s="496"/>
      <c r="D12" s="496"/>
      <c r="E12" s="496"/>
      <c r="F12" s="496" t="s">
        <v>204</v>
      </c>
      <c r="G12" s="496"/>
      <c r="H12" s="499">
        <v>0</v>
      </c>
      <c r="I12" s="319"/>
      <c r="J12" s="499"/>
      <c r="K12" s="319"/>
      <c r="L12" s="499">
        <v>0</v>
      </c>
      <c r="M12" s="319"/>
      <c r="N12" s="499"/>
      <c r="O12" s="319"/>
      <c r="P12" s="499">
        <v>0</v>
      </c>
      <c r="Q12" s="319"/>
      <c r="R12" s="499"/>
      <c r="S12" s="319"/>
      <c r="T12" s="499">
        <v>0</v>
      </c>
      <c r="U12" s="319"/>
      <c r="V12" s="499"/>
      <c r="W12" s="319"/>
      <c r="X12" s="499">
        <v>0</v>
      </c>
      <c r="Y12" s="319"/>
      <c r="Z12" s="319"/>
      <c r="AA12" s="319"/>
      <c r="AB12" s="319">
        <v>0</v>
      </c>
      <c r="AC12" s="319"/>
      <c r="AD12" s="319"/>
      <c r="AE12" s="319"/>
      <c r="AF12" s="319">
        <v>0</v>
      </c>
      <c r="AG12" s="319"/>
      <c r="AH12" s="319"/>
      <c r="AI12" s="319"/>
      <c r="AJ12" s="499">
        <v>0</v>
      </c>
      <c r="AK12" s="319"/>
      <c r="AL12" s="499"/>
      <c r="AM12" s="319"/>
      <c r="AN12" s="499">
        <v>0</v>
      </c>
      <c r="AO12" s="319"/>
      <c r="AP12" s="499"/>
      <c r="AQ12" s="319"/>
      <c r="AR12" s="499">
        <v>0</v>
      </c>
      <c r="AS12" s="319"/>
      <c r="AT12" s="499"/>
      <c r="AU12" s="319"/>
      <c r="AV12" s="499">
        <v>0</v>
      </c>
      <c r="AW12" s="319"/>
      <c r="AX12" s="319"/>
      <c r="AY12" s="319"/>
      <c r="AZ12" s="499">
        <v>0</v>
      </c>
      <c r="BA12" s="319"/>
      <c r="BB12" s="499"/>
      <c r="BC12" s="319"/>
      <c r="BD12" s="499">
        <v>0</v>
      </c>
      <c r="BE12" s="319"/>
      <c r="BF12" s="499"/>
      <c r="BG12" s="319"/>
      <c r="BH12" s="499">
        <v>0</v>
      </c>
      <c r="BI12" s="319"/>
      <c r="BJ12" s="499"/>
      <c r="BK12" s="319"/>
      <c r="BL12" s="499">
        <v>0</v>
      </c>
      <c r="BM12" s="319"/>
      <c r="BN12" s="499">
        <v>0</v>
      </c>
      <c r="BO12" s="319"/>
      <c r="BP12" s="499">
        <v>0</v>
      </c>
      <c r="BQ12" s="319"/>
      <c r="BR12" s="499">
        <v>0</v>
      </c>
      <c r="BS12" s="319"/>
      <c r="BT12" s="499">
        <v>0</v>
      </c>
      <c r="BU12" s="319"/>
      <c r="BV12" s="319"/>
      <c r="BW12" s="319"/>
      <c r="BX12" s="499">
        <v>2513.35</v>
      </c>
      <c r="BY12" s="319"/>
      <c r="BZ12" s="499">
        <v>20000</v>
      </c>
      <c r="CA12" s="319"/>
      <c r="CB12" s="499">
        <v>2513.35</v>
      </c>
      <c r="CC12" s="319"/>
      <c r="CD12" s="499">
        <v>20000</v>
      </c>
      <c r="CE12" s="319"/>
      <c r="CF12" s="499">
        <v>2513.35</v>
      </c>
      <c r="CG12" s="319"/>
      <c r="CH12" s="499">
        <v>20000</v>
      </c>
      <c r="CI12" s="319"/>
      <c r="CJ12" s="319"/>
      <c r="CK12" s="319"/>
      <c r="CL12" s="319"/>
      <c r="CM12" s="319"/>
      <c r="CN12" s="499">
        <v>2513.35</v>
      </c>
      <c r="CO12" s="319"/>
      <c r="CP12" s="499">
        <v>20000</v>
      </c>
      <c r="CQ12" s="499"/>
      <c r="CR12" s="499">
        <f>+CP12</f>
        <v>20000</v>
      </c>
      <c r="CS12" s="499">
        <f>SUM(CQ12:CR12)</f>
        <v>20000</v>
      </c>
      <c r="CU12" s="126">
        <f>CN12</f>
        <v>2513.35</v>
      </c>
    </row>
    <row r="13" spans="1:99" x14ac:dyDescent="0.25">
      <c r="A13" s="496"/>
      <c r="B13" s="496"/>
      <c r="C13" s="496"/>
      <c r="D13" s="496"/>
      <c r="E13" s="496"/>
      <c r="F13" s="496" t="s">
        <v>156</v>
      </c>
      <c r="G13" s="496"/>
      <c r="H13" s="499">
        <v>146.91</v>
      </c>
      <c r="I13" s="319"/>
      <c r="J13" s="499">
        <v>550</v>
      </c>
      <c r="K13" s="319"/>
      <c r="L13" s="499">
        <v>0</v>
      </c>
      <c r="M13" s="319"/>
      <c r="N13" s="499"/>
      <c r="O13" s="319"/>
      <c r="P13" s="499">
        <v>146.91</v>
      </c>
      <c r="Q13" s="319"/>
      <c r="R13" s="499">
        <v>550</v>
      </c>
      <c r="S13" s="319"/>
      <c r="T13" s="499">
        <v>430</v>
      </c>
      <c r="U13" s="319"/>
      <c r="V13" s="499"/>
      <c r="W13" s="319"/>
      <c r="X13" s="499">
        <v>0</v>
      </c>
      <c r="Y13" s="319"/>
      <c r="Z13" s="319"/>
      <c r="AA13" s="319"/>
      <c r="AB13" s="319">
        <v>0</v>
      </c>
      <c r="AC13" s="319"/>
      <c r="AD13" s="319"/>
      <c r="AE13" s="319"/>
      <c r="AF13" s="319">
        <v>0</v>
      </c>
      <c r="AG13" s="319"/>
      <c r="AH13" s="319"/>
      <c r="AI13" s="319"/>
      <c r="AJ13" s="499">
        <v>0</v>
      </c>
      <c r="AK13" s="319"/>
      <c r="AL13" s="499"/>
      <c r="AM13" s="319"/>
      <c r="AN13" s="499">
        <v>0</v>
      </c>
      <c r="AO13" s="319"/>
      <c r="AP13" s="499"/>
      <c r="AQ13" s="319"/>
      <c r="AR13" s="499">
        <v>0</v>
      </c>
      <c r="AS13" s="319"/>
      <c r="AT13" s="499"/>
      <c r="AU13" s="319"/>
      <c r="AV13" s="499">
        <v>0</v>
      </c>
      <c r="AW13" s="319"/>
      <c r="AX13" s="319"/>
      <c r="AY13" s="319"/>
      <c r="AZ13" s="499">
        <v>0</v>
      </c>
      <c r="BA13" s="319"/>
      <c r="BB13" s="499"/>
      <c r="BC13" s="319"/>
      <c r="BD13" s="499">
        <v>0</v>
      </c>
      <c r="BE13" s="319"/>
      <c r="BF13" s="499"/>
      <c r="BG13" s="319"/>
      <c r="BH13" s="499">
        <v>0</v>
      </c>
      <c r="BI13" s="319"/>
      <c r="BJ13" s="499"/>
      <c r="BK13" s="319"/>
      <c r="BL13" s="499">
        <v>0</v>
      </c>
      <c r="BM13" s="319"/>
      <c r="BN13" s="499"/>
      <c r="BO13" s="319"/>
      <c r="BP13" s="499">
        <v>0</v>
      </c>
      <c r="BQ13" s="319"/>
      <c r="BR13" s="499"/>
      <c r="BS13" s="319"/>
      <c r="BT13" s="499">
        <v>0</v>
      </c>
      <c r="BU13" s="319"/>
      <c r="BV13" s="319"/>
      <c r="BW13" s="319"/>
      <c r="BX13" s="499">
        <v>0</v>
      </c>
      <c r="BY13" s="319"/>
      <c r="BZ13" s="499"/>
      <c r="CA13" s="319"/>
      <c r="CB13" s="499">
        <v>0</v>
      </c>
      <c r="CC13" s="319"/>
      <c r="CD13" s="499"/>
      <c r="CE13" s="319"/>
      <c r="CF13" s="499">
        <v>0</v>
      </c>
      <c r="CG13" s="319"/>
      <c r="CH13" s="499"/>
      <c r="CI13" s="319"/>
      <c r="CJ13" s="319"/>
      <c r="CK13" s="319"/>
      <c r="CL13" s="319"/>
      <c r="CM13" s="319"/>
      <c r="CN13" s="499">
        <v>576.91</v>
      </c>
      <c r="CO13" s="319"/>
      <c r="CP13" s="499">
        <v>550</v>
      </c>
      <c r="CQ13" s="499">
        <f>+CP13</f>
        <v>550</v>
      </c>
      <c r="CR13" s="499"/>
      <c r="CS13" s="499">
        <f>SUM(CQ13:CR13)</f>
        <v>550</v>
      </c>
      <c r="CT13" s="126">
        <f>+CN13</f>
        <v>576.91</v>
      </c>
      <c r="CU13" s="126"/>
    </row>
    <row r="14" spans="1:99" ht="15.75" thickBot="1" x14ac:dyDescent="0.3">
      <c r="A14" s="496"/>
      <c r="B14" s="496"/>
      <c r="C14" s="496"/>
      <c r="D14" s="496"/>
      <c r="E14" s="496"/>
      <c r="F14" s="496" t="s">
        <v>206</v>
      </c>
      <c r="G14" s="496"/>
      <c r="H14" s="320">
        <v>0</v>
      </c>
      <c r="I14" s="319"/>
      <c r="J14" s="320"/>
      <c r="K14" s="319"/>
      <c r="L14" s="320">
        <v>0</v>
      </c>
      <c r="M14" s="319"/>
      <c r="N14" s="320"/>
      <c r="O14" s="319"/>
      <c r="P14" s="320">
        <v>0</v>
      </c>
      <c r="Q14" s="319"/>
      <c r="R14" s="320"/>
      <c r="S14" s="319"/>
      <c r="T14" s="320">
        <v>0</v>
      </c>
      <c r="U14" s="319"/>
      <c r="V14" s="320"/>
      <c r="W14" s="319"/>
      <c r="X14" s="320">
        <v>0</v>
      </c>
      <c r="Y14" s="319"/>
      <c r="Z14" s="319"/>
      <c r="AA14" s="319"/>
      <c r="AB14" s="319">
        <v>0</v>
      </c>
      <c r="AC14" s="319"/>
      <c r="AD14" s="319"/>
      <c r="AE14" s="319"/>
      <c r="AF14" s="319">
        <v>3000</v>
      </c>
      <c r="AG14" s="319"/>
      <c r="AH14" s="319"/>
      <c r="AI14" s="319"/>
      <c r="AJ14" s="320">
        <v>0</v>
      </c>
      <c r="AK14" s="319"/>
      <c r="AL14" s="320">
        <v>0</v>
      </c>
      <c r="AM14" s="319"/>
      <c r="AN14" s="320">
        <v>0</v>
      </c>
      <c r="AO14" s="319"/>
      <c r="AP14" s="320">
        <v>125000</v>
      </c>
      <c r="AQ14" s="319"/>
      <c r="AR14" s="320">
        <v>3000</v>
      </c>
      <c r="AS14" s="319"/>
      <c r="AT14" s="320">
        <v>125000</v>
      </c>
      <c r="AU14" s="319"/>
      <c r="AV14" s="320">
        <v>0</v>
      </c>
      <c r="AW14" s="319"/>
      <c r="AX14" s="319"/>
      <c r="AY14" s="319"/>
      <c r="AZ14" s="320">
        <v>0</v>
      </c>
      <c r="BA14" s="319"/>
      <c r="BB14" s="320">
        <v>125000</v>
      </c>
      <c r="BC14" s="319"/>
      <c r="BD14" s="320">
        <v>0</v>
      </c>
      <c r="BE14" s="319"/>
      <c r="BF14" s="320">
        <v>125000</v>
      </c>
      <c r="BG14" s="319"/>
      <c r="BH14" s="320">
        <v>0</v>
      </c>
      <c r="BI14" s="319"/>
      <c r="BJ14" s="499"/>
      <c r="BK14" s="319"/>
      <c r="BL14" s="320">
        <v>0</v>
      </c>
      <c r="BM14" s="319"/>
      <c r="BN14" s="320"/>
      <c r="BO14" s="319"/>
      <c r="BP14" s="320">
        <v>0</v>
      </c>
      <c r="BQ14" s="319"/>
      <c r="BR14" s="320">
        <v>125000</v>
      </c>
      <c r="BS14" s="319"/>
      <c r="BT14" s="320">
        <v>0</v>
      </c>
      <c r="BU14" s="319"/>
      <c r="BV14" s="319"/>
      <c r="BW14" s="319"/>
      <c r="BX14" s="320">
        <v>0</v>
      </c>
      <c r="BY14" s="319"/>
      <c r="BZ14" s="320">
        <v>88750</v>
      </c>
      <c r="CA14" s="319"/>
      <c r="CB14" s="320">
        <v>0</v>
      </c>
      <c r="CC14" s="319"/>
      <c r="CD14" s="320">
        <v>88750</v>
      </c>
      <c r="CE14" s="319"/>
      <c r="CF14" s="320">
        <v>3000</v>
      </c>
      <c r="CG14" s="319"/>
      <c r="CH14" s="320">
        <v>338750</v>
      </c>
      <c r="CI14" s="319"/>
      <c r="CJ14" s="319"/>
      <c r="CK14" s="319"/>
      <c r="CL14" s="319"/>
      <c r="CM14" s="319"/>
      <c r="CN14" s="320">
        <v>3000</v>
      </c>
      <c r="CO14" s="319"/>
      <c r="CP14" s="320">
        <v>338750</v>
      </c>
      <c r="CQ14" s="497"/>
      <c r="CR14" s="497">
        <f>+CP14</f>
        <v>338750</v>
      </c>
      <c r="CS14" s="497">
        <f>SUM(CQ14:CR14)</f>
        <v>338750</v>
      </c>
      <c r="CU14" s="126">
        <f>CN14</f>
        <v>3000</v>
      </c>
    </row>
    <row r="15" spans="1:99" x14ac:dyDescent="0.25">
      <c r="A15" s="496"/>
      <c r="B15" s="496"/>
      <c r="C15" s="496"/>
      <c r="D15" s="496"/>
      <c r="E15" s="496" t="s">
        <v>159</v>
      </c>
      <c r="F15" s="496"/>
      <c r="G15" s="496"/>
      <c r="H15" s="499">
        <v>146.91</v>
      </c>
      <c r="I15" s="319"/>
      <c r="J15" s="499">
        <v>550</v>
      </c>
      <c r="K15" s="319"/>
      <c r="L15" s="499">
        <v>8692.25</v>
      </c>
      <c r="M15" s="319"/>
      <c r="N15" s="499">
        <v>9400</v>
      </c>
      <c r="O15" s="319"/>
      <c r="P15" s="499">
        <v>8839.16</v>
      </c>
      <c r="Q15" s="319"/>
      <c r="R15" s="499">
        <v>9950</v>
      </c>
      <c r="S15" s="319"/>
      <c r="T15" s="499">
        <v>35119.22</v>
      </c>
      <c r="U15" s="319"/>
      <c r="V15" s="499">
        <v>155000</v>
      </c>
      <c r="W15" s="319"/>
      <c r="X15" s="499">
        <v>0</v>
      </c>
      <c r="Y15" s="319"/>
      <c r="Z15" s="319"/>
      <c r="AA15" s="319"/>
      <c r="AB15" s="319">
        <v>0</v>
      </c>
      <c r="AC15" s="319"/>
      <c r="AD15" s="319"/>
      <c r="AE15" s="319"/>
      <c r="AF15" s="319">
        <v>3000</v>
      </c>
      <c r="AG15" s="319"/>
      <c r="AH15" s="319"/>
      <c r="AI15" s="319"/>
      <c r="AJ15" s="499">
        <v>0</v>
      </c>
      <c r="AK15" s="319"/>
      <c r="AL15" s="499">
        <v>0</v>
      </c>
      <c r="AM15" s="319"/>
      <c r="AN15" s="499">
        <v>0</v>
      </c>
      <c r="AO15" s="319"/>
      <c r="AP15" s="499">
        <v>125000</v>
      </c>
      <c r="AQ15" s="319"/>
      <c r="AR15" s="499">
        <v>3000</v>
      </c>
      <c r="AS15" s="319"/>
      <c r="AT15" s="499">
        <v>125000</v>
      </c>
      <c r="AU15" s="319"/>
      <c r="AV15" s="499">
        <v>0</v>
      </c>
      <c r="AW15" s="319"/>
      <c r="AX15" s="319"/>
      <c r="AY15" s="319"/>
      <c r="AZ15" s="499">
        <v>0</v>
      </c>
      <c r="BA15" s="319"/>
      <c r="BB15" s="499">
        <v>125000</v>
      </c>
      <c r="BC15" s="319"/>
      <c r="BD15" s="499">
        <v>0</v>
      </c>
      <c r="BE15" s="319"/>
      <c r="BF15" s="499">
        <v>125000</v>
      </c>
      <c r="BG15" s="319"/>
      <c r="BH15" s="499">
        <v>0</v>
      </c>
      <c r="BI15" s="319"/>
      <c r="BJ15" s="499"/>
      <c r="BK15" s="319"/>
      <c r="BL15" s="499">
        <v>0</v>
      </c>
      <c r="BM15" s="319"/>
      <c r="BN15" s="499">
        <v>0</v>
      </c>
      <c r="BO15" s="319"/>
      <c r="BP15" s="499">
        <v>0</v>
      </c>
      <c r="BQ15" s="319"/>
      <c r="BR15" s="499">
        <v>125000</v>
      </c>
      <c r="BS15" s="319"/>
      <c r="BT15" s="499">
        <v>0</v>
      </c>
      <c r="BU15" s="319"/>
      <c r="BV15" s="319"/>
      <c r="BW15" s="319"/>
      <c r="BX15" s="499">
        <v>3713.35</v>
      </c>
      <c r="BY15" s="319"/>
      <c r="BZ15" s="499">
        <v>133750</v>
      </c>
      <c r="CA15" s="319"/>
      <c r="CB15" s="499">
        <v>3713.35</v>
      </c>
      <c r="CC15" s="319"/>
      <c r="CD15" s="499">
        <v>133750</v>
      </c>
      <c r="CE15" s="319"/>
      <c r="CF15" s="499">
        <v>6713.35</v>
      </c>
      <c r="CG15" s="319"/>
      <c r="CH15" s="499">
        <v>383750</v>
      </c>
      <c r="CI15" s="319"/>
      <c r="CJ15" s="319"/>
      <c r="CK15" s="319"/>
      <c r="CL15" s="319"/>
      <c r="CM15" s="319"/>
      <c r="CN15" s="499">
        <v>50671.73</v>
      </c>
      <c r="CO15" s="319"/>
      <c r="CP15" s="499">
        <v>548700</v>
      </c>
      <c r="CQ15" s="499"/>
      <c r="CR15" s="499"/>
      <c r="CS15" s="499"/>
    </row>
    <row r="16" spans="1:99" x14ac:dyDescent="0.25">
      <c r="A16" s="496"/>
      <c r="B16" s="496"/>
      <c r="C16" s="496"/>
      <c r="D16" s="496"/>
      <c r="E16" s="496" t="s">
        <v>207</v>
      </c>
      <c r="F16" s="496"/>
      <c r="G16" s="496"/>
      <c r="H16" s="499"/>
      <c r="I16" s="319"/>
      <c r="J16" s="499"/>
      <c r="K16" s="319"/>
      <c r="L16" s="499"/>
      <c r="M16" s="319"/>
      <c r="N16" s="499"/>
      <c r="O16" s="319"/>
      <c r="P16" s="499"/>
      <c r="Q16" s="319"/>
      <c r="R16" s="499"/>
      <c r="S16" s="319"/>
      <c r="T16" s="499"/>
      <c r="U16" s="319"/>
      <c r="V16" s="499"/>
      <c r="W16" s="319"/>
      <c r="X16" s="49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499"/>
      <c r="AK16" s="319"/>
      <c r="AL16" s="499"/>
      <c r="AM16" s="319"/>
      <c r="AN16" s="499"/>
      <c r="AO16" s="319"/>
      <c r="AP16" s="499"/>
      <c r="AQ16" s="319"/>
      <c r="AR16" s="499"/>
      <c r="AS16" s="319"/>
      <c r="AT16" s="499"/>
      <c r="AU16" s="319"/>
      <c r="AV16" s="499"/>
      <c r="AW16" s="319"/>
      <c r="AX16" s="319"/>
      <c r="AY16" s="319"/>
      <c r="AZ16" s="499"/>
      <c r="BA16" s="319"/>
      <c r="BB16" s="499"/>
      <c r="BC16" s="319"/>
      <c r="BD16" s="499"/>
      <c r="BE16" s="319"/>
      <c r="BF16" s="499"/>
      <c r="BG16" s="319"/>
      <c r="BH16" s="499"/>
      <c r="BI16" s="319"/>
      <c r="BJ16" s="499"/>
      <c r="BK16" s="319"/>
      <c r="BL16" s="499"/>
      <c r="BM16" s="319"/>
      <c r="BN16" s="499"/>
      <c r="BO16" s="319"/>
      <c r="BP16" s="499"/>
      <c r="BQ16" s="319"/>
      <c r="BR16" s="499"/>
      <c r="BS16" s="319"/>
      <c r="BT16" s="499"/>
      <c r="BU16" s="319"/>
      <c r="BV16" s="319"/>
      <c r="BW16" s="319"/>
      <c r="BX16" s="499"/>
      <c r="BY16" s="319"/>
      <c r="BZ16" s="499"/>
      <c r="CA16" s="319"/>
      <c r="CB16" s="499"/>
      <c r="CC16" s="319"/>
      <c r="CD16" s="499"/>
      <c r="CE16" s="319"/>
      <c r="CF16" s="499"/>
      <c r="CG16" s="319"/>
      <c r="CH16" s="499"/>
      <c r="CI16" s="319"/>
      <c r="CJ16" s="319"/>
      <c r="CK16" s="319"/>
      <c r="CL16" s="319"/>
      <c r="CM16" s="319"/>
      <c r="CN16" s="499"/>
      <c r="CO16" s="319"/>
      <c r="CP16" s="499"/>
      <c r="CQ16" s="499"/>
      <c r="CR16" s="499"/>
      <c r="CS16" s="499"/>
    </row>
    <row r="17" spans="1:101" x14ac:dyDescent="0.25">
      <c r="A17" s="496"/>
      <c r="B17" s="496"/>
      <c r="C17" s="496"/>
      <c r="D17" s="496"/>
      <c r="E17" s="496"/>
      <c r="F17" s="496" t="s">
        <v>208</v>
      </c>
      <c r="G17" s="496"/>
      <c r="H17" s="499">
        <v>0</v>
      </c>
      <c r="I17" s="319"/>
      <c r="J17" s="499"/>
      <c r="K17" s="319"/>
      <c r="L17" s="499">
        <v>0</v>
      </c>
      <c r="M17" s="319"/>
      <c r="N17" s="499"/>
      <c r="O17" s="319"/>
      <c r="P17" s="499">
        <v>0</v>
      </c>
      <c r="Q17" s="319"/>
      <c r="R17" s="499"/>
      <c r="S17" s="319"/>
      <c r="T17" s="499">
        <v>0</v>
      </c>
      <c r="U17" s="319"/>
      <c r="V17" s="499"/>
      <c r="W17" s="319"/>
      <c r="X17" s="499">
        <v>0</v>
      </c>
      <c r="Y17" s="319"/>
      <c r="Z17" s="319"/>
      <c r="AA17" s="319"/>
      <c r="AB17" s="319">
        <v>630.13</v>
      </c>
      <c r="AC17" s="319"/>
      <c r="AD17" s="319"/>
      <c r="AE17" s="319"/>
      <c r="AF17" s="319">
        <v>0</v>
      </c>
      <c r="AG17" s="319"/>
      <c r="AH17" s="319"/>
      <c r="AI17" s="319"/>
      <c r="AJ17" s="499">
        <v>0</v>
      </c>
      <c r="AK17" s="319"/>
      <c r="AL17" s="499"/>
      <c r="AM17" s="319"/>
      <c r="AN17" s="499">
        <v>0</v>
      </c>
      <c r="AO17" s="319"/>
      <c r="AP17" s="499"/>
      <c r="AQ17" s="319"/>
      <c r="AR17" s="499">
        <v>630.13</v>
      </c>
      <c r="AS17" s="319"/>
      <c r="AT17" s="499"/>
      <c r="AU17" s="319"/>
      <c r="AV17" s="499">
        <v>0</v>
      </c>
      <c r="AW17" s="319"/>
      <c r="AX17" s="319"/>
      <c r="AY17" s="319"/>
      <c r="AZ17" s="499">
        <v>0</v>
      </c>
      <c r="BA17" s="319"/>
      <c r="BB17" s="499"/>
      <c r="BC17" s="319"/>
      <c r="BD17" s="499">
        <v>0</v>
      </c>
      <c r="BE17" s="319"/>
      <c r="BF17" s="499"/>
      <c r="BG17" s="319"/>
      <c r="BH17" s="499">
        <v>0</v>
      </c>
      <c r="BI17" s="319"/>
      <c r="BJ17" s="499"/>
      <c r="BK17" s="319"/>
      <c r="BL17" s="499">
        <v>0</v>
      </c>
      <c r="BM17" s="319"/>
      <c r="BN17" s="499">
        <v>10000</v>
      </c>
      <c r="BO17" s="319"/>
      <c r="BP17" s="499">
        <v>0</v>
      </c>
      <c r="BQ17" s="319"/>
      <c r="BR17" s="499">
        <v>10000</v>
      </c>
      <c r="BS17" s="319"/>
      <c r="BT17" s="499">
        <v>0</v>
      </c>
      <c r="BU17" s="319"/>
      <c r="BV17" s="319"/>
      <c r="BW17" s="319"/>
      <c r="BX17" s="499">
        <v>0</v>
      </c>
      <c r="BY17" s="319"/>
      <c r="BZ17" s="499"/>
      <c r="CA17" s="319"/>
      <c r="CB17" s="499">
        <v>0</v>
      </c>
      <c r="CC17" s="319"/>
      <c r="CD17" s="499"/>
      <c r="CE17" s="319"/>
      <c r="CF17" s="499">
        <v>630.13</v>
      </c>
      <c r="CG17" s="319"/>
      <c r="CH17" s="499">
        <v>10000</v>
      </c>
      <c r="CI17" s="319"/>
      <c r="CJ17" s="319"/>
      <c r="CK17" s="319"/>
      <c r="CL17" s="319"/>
      <c r="CM17" s="319"/>
      <c r="CN17" s="499">
        <v>630.13</v>
      </c>
      <c r="CO17" s="319"/>
      <c r="CP17" s="499">
        <v>10000</v>
      </c>
      <c r="CQ17" s="499">
        <f>+CP17</f>
        <v>10000</v>
      </c>
      <c r="CR17" s="499"/>
      <c r="CS17" s="499">
        <f>SUM(CQ17:CR17)</f>
        <v>10000</v>
      </c>
      <c r="CT17" s="126">
        <f>CN17</f>
        <v>630.13</v>
      </c>
    </row>
    <row r="18" spans="1:101" x14ac:dyDescent="0.25">
      <c r="A18" s="496"/>
      <c r="B18" s="496"/>
      <c r="C18" s="496"/>
      <c r="D18" s="496"/>
      <c r="E18" s="496"/>
      <c r="F18" s="496" t="s">
        <v>162</v>
      </c>
      <c r="G18" s="496"/>
      <c r="H18" s="499">
        <v>0</v>
      </c>
      <c r="I18" s="319"/>
      <c r="J18" s="499"/>
      <c r="K18" s="319"/>
      <c r="L18" s="499">
        <v>0</v>
      </c>
      <c r="M18" s="319"/>
      <c r="N18" s="499"/>
      <c r="O18" s="319"/>
      <c r="P18" s="499">
        <v>0</v>
      </c>
      <c r="Q18" s="319"/>
      <c r="R18" s="499"/>
      <c r="S18" s="319"/>
      <c r="T18" s="499">
        <v>100</v>
      </c>
      <c r="U18" s="319"/>
      <c r="V18" s="499"/>
      <c r="W18" s="319"/>
      <c r="X18" s="499">
        <v>0</v>
      </c>
      <c r="Y18" s="319"/>
      <c r="Z18" s="319"/>
      <c r="AA18" s="319"/>
      <c r="AB18" s="319">
        <v>0</v>
      </c>
      <c r="AC18" s="319"/>
      <c r="AD18" s="319"/>
      <c r="AE18" s="319"/>
      <c r="AF18" s="319">
        <v>0</v>
      </c>
      <c r="AG18" s="319"/>
      <c r="AH18" s="319"/>
      <c r="AI18" s="319"/>
      <c r="AJ18" s="499">
        <v>0</v>
      </c>
      <c r="AK18" s="319"/>
      <c r="AL18" s="499"/>
      <c r="AM18" s="319"/>
      <c r="AN18" s="499">
        <v>0</v>
      </c>
      <c r="AO18" s="319"/>
      <c r="AP18" s="499"/>
      <c r="AQ18" s="319"/>
      <c r="AR18" s="499">
        <v>0</v>
      </c>
      <c r="AS18" s="319"/>
      <c r="AT18" s="499"/>
      <c r="AU18" s="319"/>
      <c r="AV18" s="499">
        <v>0</v>
      </c>
      <c r="AW18" s="319"/>
      <c r="AX18" s="319"/>
      <c r="AY18" s="319"/>
      <c r="AZ18" s="499">
        <v>0</v>
      </c>
      <c r="BA18" s="319"/>
      <c r="BB18" s="499"/>
      <c r="BC18" s="319"/>
      <c r="BD18" s="499">
        <v>0</v>
      </c>
      <c r="BE18" s="319"/>
      <c r="BF18" s="499"/>
      <c r="BG18" s="319"/>
      <c r="BH18" s="499">
        <v>0</v>
      </c>
      <c r="BI18" s="319"/>
      <c r="BJ18" s="499"/>
      <c r="BK18" s="319"/>
      <c r="BL18" s="499">
        <v>3140.72</v>
      </c>
      <c r="BM18" s="319"/>
      <c r="BN18" s="499"/>
      <c r="BO18" s="319"/>
      <c r="BP18" s="499">
        <v>3140.72</v>
      </c>
      <c r="BQ18" s="319"/>
      <c r="BR18" s="499"/>
      <c r="BS18" s="319"/>
      <c r="BT18" s="499">
        <v>0</v>
      </c>
      <c r="BU18" s="319"/>
      <c r="BV18" s="319"/>
      <c r="BW18" s="319"/>
      <c r="BX18" s="499">
        <v>0</v>
      </c>
      <c r="BY18" s="319"/>
      <c r="BZ18" s="499"/>
      <c r="CA18" s="319"/>
      <c r="CB18" s="499">
        <v>0</v>
      </c>
      <c r="CC18" s="319"/>
      <c r="CD18" s="499"/>
      <c r="CE18" s="319"/>
      <c r="CF18" s="499">
        <v>3140.72</v>
      </c>
      <c r="CG18" s="319"/>
      <c r="CH18" s="499"/>
      <c r="CI18" s="319"/>
      <c r="CJ18" s="319"/>
      <c r="CK18" s="319"/>
      <c r="CL18" s="319"/>
      <c r="CM18" s="319"/>
      <c r="CN18" s="499">
        <v>3240.72</v>
      </c>
      <c r="CO18" s="319"/>
      <c r="CP18" s="499">
        <v>0</v>
      </c>
      <c r="CQ18" s="499">
        <f>+CP18</f>
        <v>0</v>
      </c>
      <c r="CR18" s="499"/>
      <c r="CS18" s="499">
        <f>SUM(CQ18:CR18)</f>
        <v>0</v>
      </c>
      <c r="CT18" s="126">
        <f>CN18</f>
        <v>3240.72</v>
      </c>
    </row>
    <row r="19" spans="1:101" x14ac:dyDescent="0.25">
      <c r="A19" s="496"/>
      <c r="B19" s="496"/>
      <c r="C19" s="496"/>
      <c r="D19" s="496"/>
      <c r="E19" s="496"/>
      <c r="F19" s="531" t="s">
        <v>163</v>
      </c>
      <c r="G19" s="496"/>
      <c r="H19" s="499">
        <v>0</v>
      </c>
      <c r="I19" s="319"/>
      <c r="J19" s="499"/>
      <c r="K19" s="319"/>
      <c r="L19" s="499">
        <v>0</v>
      </c>
      <c r="M19" s="319"/>
      <c r="N19" s="499"/>
      <c r="O19" s="319"/>
      <c r="P19" s="499">
        <v>0</v>
      </c>
      <c r="Q19" s="319"/>
      <c r="R19" s="499"/>
      <c r="S19" s="319"/>
      <c r="T19" s="499">
        <v>20</v>
      </c>
      <c r="U19" s="319"/>
      <c r="V19" s="499"/>
      <c r="W19" s="319"/>
      <c r="X19" s="499">
        <v>0</v>
      </c>
      <c r="Y19" s="319"/>
      <c r="Z19" s="319"/>
      <c r="AA19" s="319"/>
      <c r="AB19" s="319">
        <v>0</v>
      </c>
      <c r="AC19" s="319"/>
      <c r="AD19" s="319"/>
      <c r="AE19" s="319"/>
      <c r="AF19" s="319">
        <v>0</v>
      </c>
      <c r="AG19" s="319"/>
      <c r="AH19" s="319"/>
      <c r="AI19" s="319"/>
      <c r="AJ19" s="499">
        <v>0</v>
      </c>
      <c r="AK19" s="319"/>
      <c r="AL19" s="499"/>
      <c r="AM19" s="319"/>
      <c r="AN19" s="499">
        <v>0</v>
      </c>
      <c r="AO19" s="319"/>
      <c r="AP19" s="499"/>
      <c r="AQ19" s="319"/>
      <c r="AR19" s="499">
        <v>0</v>
      </c>
      <c r="AS19" s="319"/>
      <c r="AT19" s="499"/>
      <c r="AU19" s="319"/>
      <c r="AV19" s="499">
        <v>0</v>
      </c>
      <c r="AW19" s="319"/>
      <c r="AX19" s="319"/>
      <c r="AY19" s="319"/>
      <c r="AZ19" s="499">
        <v>0</v>
      </c>
      <c r="BA19" s="319"/>
      <c r="BB19" s="499"/>
      <c r="BC19" s="319"/>
      <c r="BD19" s="499">
        <v>0</v>
      </c>
      <c r="BE19" s="319"/>
      <c r="BF19" s="499"/>
      <c r="BG19" s="319"/>
      <c r="BH19" s="499">
        <v>0</v>
      </c>
      <c r="BI19" s="319"/>
      <c r="BJ19" s="499"/>
      <c r="BK19" s="319"/>
      <c r="BL19" s="499">
        <v>112.5</v>
      </c>
      <c r="BM19" s="319"/>
      <c r="BN19" s="499"/>
      <c r="BO19" s="319"/>
      <c r="BP19" s="499">
        <v>112.5</v>
      </c>
      <c r="BQ19" s="319"/>
      <c r="BR19" s="499"/>
      <c r="BS19" s="319"/>
      <c r="BT19" s="499">
        <v>0</v>
      </c>
      <c r="BU19" s="319"/>
      <c r="BV19" s="319"/>
      <c r="BW19" s="319"/>
      <c r="BX19" s="499">
        <v>0</v>
      </c>
      <c r="BY19" s="319"/>
      <c r="BZ19" s="499"/>
      <c r="CA19" s="319"/>
      <c r="CB19" s="499">
        <v>0</v>
      </c>
      <c r="CC19" s="319"/>
      <c r="CD19" s="499"/>
      <c r="CE19" s="319"/>
      <c r="CF19" s="499">
        <v>112.5</v>
      </c>
      <c r="CG19" s="319"/>
      <c r="CH19" s="499"/>
      <c r="CI19" s="319"/>
      <c r="CJ19" s="319"/>
      <c r="CK19" s="319"/>
      <c r="CL19" s="319"/>
      <c r="CM19" s="319"/>
      <c r="CN19" s="499">
        <v>132.5</v>
      </c>
      <c r="CO19" s="319"/>
      <c r="CP19" s="499">
        <v>0</v>
      </c>
      <c r="CQ19" s="499"/>
      <c r="CR19" s="499"/>
      <c r="CS19" s="499"/>
      <c r="CT19" s="126">
        <f>CN19</f>
        <v>132.5</v>
      </c>
    </row>
    <row r="20" spans="1:101" ht="15.75" thickBot="1" x14ac:dyDescent="0.3">
      <c r="A20" s="496"/>
      <c r="B20" s="496"/>
      <c r="C20" s="496"/>
      <c r="D20" s="496"/>
      <c r="E20" s="496"/>
      <c r="F20" s="496" t="s">
        <v>209</v>
      </c>
      <c r="G20" s="496"/>
      <c r="H20" s="320">
        <v>0</v>
      </c>
      <c r="I20" s="319"/>
      <c r="J20" s="499"/>
      <c r="K20" s="319"/>
      <c r="L20" s="320">
        <v>0</v>
      </c>
      <c r="M20" s="319"/>
      <c r="N20" s="499"/>
      <c r="O20" s="319"/>
      <c r="P20" s="320">
        <v>0</v>
      </c>
      <c r="Q20" s="319"/>
      <c r="R20" s="499"/>
      <c r="S20" s="319"/>
      <c r="T20" s="320">
        <v>0</v>
      </c>
      <c r="U20" s="319"/>
      <c r="V20" s="499"/>
      <c r="W20" s="319"/>
      <c r="X20" s="320">
        <v>0</v>
      </c>
      <c r="Y20" s="319"/>
      <c r="Z20" s="319"/>
      <c r="AA20" s="319"/>
      <c r="AB20" s="319">
        <v>0</v>
      </c>
      <c r="AC20" s="319"/>
      <c r="AD20" s="319"/>
      <c r="AE20" s="319"/>
      <c r="AF20" s="319">
        <v>0</v>
      </c>
      <c r="AG20" s="319"/>
      <c r="AH20" s="319"/>
      <c r="AI20" s="319"/>
      <c r="AJ20" s="320">
        <v>0</v>
      </c>
      <c r="AK20" s="319"/>
      <c r="AL20" s="499"/>
      <c r="AM20" s="319"/>
      <c r="AN20" s="320">
        <v>0</v>
      </c>
      <c r="AO20" s="319"/>
      <c r="AP20" s="499"/>
      <c r="AQ20" s="319"/>
      <c r="AR20" s="320">
        <v>0</v>
      </c>
      <c r="AS20" s="319"/>
      <c r="AT20" s="499"/>
      <c r="AU20" s="319"/>
      <c r="AV20" s="320">
        <v>0</v>
      </c>
      <c r="AW20" s="319"/>
      <c r="AX20" s="319"/>
      <c r="AY20" s="319"/>
      <c r="AZ20" s="320">
        <v>0</v>
      </c>
      <c r="BA20" s="319"/>
      <c r="BB20" s="499"/>
      <c r="BC20" s="319"/>
      <c r="BD20" s="320">
        <v>0</v>
      </c>
      <c r="BE20" s="319"/>
      <c r="BF20" s="499"/>
      <c r="BG20" s="319"/>
      <c r="BH20" s="320">
        <v>0</v>
      </c>
      <c r="BI20" s="319"/>
      <c r="BJ20" s="499"/>
      <c r="BK20" s="319"/>
      <c r="BL20" s="320">
        <v>5000</v>
      </c>
      <c r="BM20" s="319"/>
      <c r="BN20" s="320">
        <v>80000</v>
      </c>
      <c r="BO20" s="319"/>
      <c r="BP20" s="320">
        <v>5000</v>
      </c>
      <c r="BQ20" s="319"/>
      <c r="BR20" s="320">
        <v>80000</v>
      </c>
      <c r="BS20" s="319"/>
      <c r="BT20" s="320">
        <v>0</v>
      </c>
      <c r="BU20" s="319"/>
      <c r="BV20" s="319"/>
      <c r="BW20" s="319"/>
      <c r="BX20" s="320">
        <v>0</v>
      </c>
      <c r="BY20" s="319"/>
      <c r="BZ20" s="320">
        <v>0</v>
      </c>
      <c r="CA20" s="319"/>
      <c r="CB20" s="320">
        <v>0</v>
      </c>
      <c r="CC20" s="319"/>
      <c r="CD20" s="320">
        <v>0</v>
      </c>
      <c r="CE20" s="319"/>
      <c r="CF20" s="320">
        <v>5000</v>
      </c>
      <c r="CG20" s="319"/>
      <c r="CH20" s="320">
        <v>80000</v>
      </c>
      <c r="CI20" s="319"/>
      <c r="CJ20" s="319"/>
      <c r="CK20" s="319"/>
      <c r="CL20" s="319"/>
      <c r="CM20" s="319"/>
      <c r="CN20" s="320">
        <v>5000</v>
      </c>
      <c r="CO20" s="319"/>
      <c r="CP20" s="320">
        <v>80000</v>
      </c>
      <c r="CQ20" s="497">
        <f>+CP20</f>
        <v>80000</v>
      </c>
      <c r="CR20" s="497"/>
      <c r="CS20" s="497">
        <f>SUM(CQ20:CR20)</f>
        <v>80000</v>
      </c>
      <c r="CT20" s="126">
        <f>CN20</f>
        <v>5000</v>
      </c>
    </row>
    <row r="21" spans="1:101" x14ac:dyDescent="0.25">
      <c r="A21" s="496"/>
      <c r="B21" s="496"/>
      <c r="C21" s="496"/>
      <c r="D21" s="496"/>
      <c r="E21" s="496" t="s">
        <v>210</v>
      </c>
      <c r="F21" s="496"/>
      <c r="G21" s="496"/>
      <c r="H21" s="499">
        <v>0</v>
      </c>
      <c r="I21" s="319"/>
      <c r="J21" s="499"/>
      <c r="K21" s="319"/>
      <c r="L21" s="499">
        <v>0</v>
      </c>
      <c r="M21" s="319"/>
      <c r="N21" s="499"/>
      <c r="O21" s="319"/>
      <c r="P21" s="499">
        <v>0</v>
      </c>
      <c r="Q21" s="319"/>
      <c r="R21" s="499"/>
      <c r="S21" s="319"/>
      <c r="T21" s="499">
        <v>120</v>
      </c>
      <c r="U21" s="319"/>
      <c r="V21" s="499"/>
      <c r="W21" s="319"/>
      <c r="X21" s="499">
        <v>0</v>
      </c>
      <c r="Y21" s="319"/>
      <c r="Z21" s="319"/>
      <c r="AA21" s="319"/>
      <c r="AB21" s="319">
        <v>630.13</v>
      </c>
      <c r="AC21" s="319"/>
      <c r="AD21" s="319"/>
      <c r="AE21" s="319"/>
      <c r="AF21" s="319">
        <v>0</v>
      </c>
      <c r="AG21" s="319"/>
      <c r="AH21" s="319"/>
      <c r="AI21" s="319"/>
      <c r="AJ21" s="499">
        <v>0</v>
      </c>
      <c r="AK21" s="319"/>
      <c r="AL21" s="499"/>
      <c r="AM21" s="319"/>
      <c r="AN21" s="499">
        <v>0</v>
      </c>
      <c r="AO21" s="319"/>
      <c r="AP21" s="499"/>
      <c r="AQ21" s="319"/>
      <c r="AR21" s="499">
        <v>630.13</v>
      </c>
      <c r="AS21" s="319"/>
      <c r="AT21" s="499"/>
      <c r="AU21" s="319"/>
      <c r="AV21" s="499">
        <v>0</v>
      </c>
      <c r="AW21" s="319"/>
      <c r="AX21" s="319"/>
      <c r="AY21" s="319"/>
      <c r="AZ21" s="499">
        <v>0</v>
      </c>
      <c r="BA21" s="319"/>
      <c r="BB21" s="499"/>
      <c r="BC21" s="319"/>
      <c r="BD21" s="499">
        <v>0</v>
      </c>
      <c r="BE21" s="319"/>
      <c r="BF21" s="499"/>
      <c r="BG21" s="319"/>
      <c r="BH21" s="499">
        <v>0</v>
      </c>
      <c r="BI21" s="319"/>
      <c r="BJ21" s="499"/>
      <c r="BK21" s="319"/>
      <c r="BL21" s="499">
        <v>8253.2199999999993</v>
      </c>
      <c r="BM21" s="319"/>
      <c r="BN21" s="499">
        <v>90000</v>
      </c>
      <c r="BO21" s="319"/>
      <c r="BP21" s="499">
        <v>8253.2199999999993</v>
      </c>
      <c r="BQ21" s="319"/>
      <c r="BR21" s="499">
        <v>90000</v>
      </c>
      <c r="BS21" s="319"/>
      <c r="BT21" s="499">
        <v>0</v>
      </c>
      <c r="BU21" s="319"/>
      <c r="BV21" s="319"/>
      <c r="BW21" s="319"/>
      <c r="BX21" s="499">
        <v>0</v>
      </c>
      <c r="BY21" s="319"/>
      <c r="BZ21" s="499">
        <v>0</v>
      </c>
      <c r="CA21" s="319"/>
      <c r="CB21" s="499">
        <v>0</v>
      </c>
      <c r="CC21" s="319"/>
      <c r="CD21" s="499">
        <v>0</v>
      </c>
      <c r="CE21" s="319"/>
      <c r="CF21" s="499">
        <v>8883.35</v>
      </c>
      <c r="CG21" s="319"/>
      <c r="CH21" s="499">
        <v>90000</v>
      </c>
      <c r="CI21" s="319"/>
      <c r="CJ21" s="319"/>
      <c r="CK21" s="319"/>
      <c r="CL21" s="319"/>
      <c r="CM21" s="319"/>
      <c r="CN21" s="499">
        <v>9003.35</v>
      </c>
      <c r="CO21" s="319"/>
      <c r="CP21" s="499">
        <v>90000</v>
      </c>
      <c r="CQ21" s="499"/>
      <c r="CR21" s="499"/>
      <c r="CS21" s="499"/>
    </row>
    <row r="22" spans="1:101" x14ac:dyDescent="0.25">
      <c r="A22" s="496"/>
      <c r="B22" s="496"/>
      <c r="C22" s="496"/>
      <c r="D22" s="496"/>
      <c r="E22" s="496" t="s">
        <v>211</v>
      </c>
      <c r="F22" s="496"/>
      <c r="G22" s="496"/>
      <c r="H22" s="499">
        <v>0</v>
      </c>
      <c r="I22" s="319"/>
      <c r="J22" s="499"/>
      <c r="K22" s="319"/>
      <c r="L22" s="499">
        <v>875</v>
      </c>
      <c r="M22" s="319"/>
      <c r="N22" s="499">
        <v>2100</v>
      </c>
      <c r="O22" s="319"/>
      <c r="P22" s="499">
        <v>875</v>
      </c>
      <c r="Q22" s="319"/>
      <c r="R22" s="499">
        <v>2100</v>
      </c>
      <c r="S22" s="319"/>
      <c r="T22" s="499">
        <v>0</v>
      </c>
      <c r="U22" s="319"/>
      <c r="V22" s="499"/>
      <c r="W22" s="319"/>
      <c r="X22" s="499">
        <v>0</v>
      </c>
      <c r="Y22" s="319"/>
      <c r="Z22" s="319"/>
      <c r="AA22" s="319"/>
      <c r="AB22" s="319">
        <v>0</v>
      </c>
      <c r="AC22" s="319"/>
      <c r="AD22" s="319"/>
      <c r="AE22" s="319"/>
      <c r="AF22" s="319">
        <v>0</v>
      </c>
      <c r="AG22" s="319"/>
      <c r="AH22" s="319"/>
      <c r="AI22" s="319"/>
      <c r="AJ22" s="499">
        <v>0</v>
      </c>
      <c r="AK22" s="319"/>
      <c r="AL22" s="499"/>
      <c r="AM22" s="319"/>
      <c r="AN22" s="499">
        <v>0</v>
      </c>
      <c r="AO22" s="319"/>
      <c r="AP22" s="499"/>
      <c r="AQ22" s="319"/>
      <c r="AR22" s="499">
        <v>0</v>
      </c>
      <c r="AS22" s="319"/>
      <c r="AT22" s="499"/>
      <c r="AU22" s="319"/>
      <c r="AV22" s="499">
        <v>0</v>
      </c>
      <c r="AW22" s="319"/>
      <c r="AX22" s="319"/>
      <c r="AY22" s="319"/>
      <c r="AZ22" s="499">
        <v>0</v>
      </c>
      <c r="BA22" s="319"/>
      <c r="BB22" s="499"/>
      <c r="BC22" s="319"/>
      <c r="BD22" s="499">
        <v>0</v>
      </c>
      <c r="BE22" s="319"/>
      <c r="BF22" s="499"/>
      <c r="BG22" s="319"/>
      <c r="BH22" s="499">
        <v>0</v>
      </c>
      <c r="BI22" s="319"/>
      <c r="BJ22" s="499"/>
      <c r="BK22" s="319"/>
      <c r="BL22" s="499">
        <v>0</v>
      </c>
      <c r="BM22" s="319"/>
      <c r="BN22" s="499"/>
      <c r="BO22" s="319"/>
      <c r="BP22" s="499">
        <v>0</v>
      </c>
      <c r="BQ22" s="319"/>
      <c r="BR22" s="499"/>
      <c r="BS22" s="319"/>
      <c r="BT22" s="499">
        <v>0</v>
      </c>
      <c r="BU22" s="319"/>
      <c r="BV22" s="319"/>
      <c r="BW22" s="319"/>
      <c r="BX22" s="499">
        <v>0</v>
      </c>
      <c r="BY22" s="319"/>
      <c r="BZ22" s="499"/>
      <c r="CA22" s="319"/>
      <c r="CB22" s="499">
        <v>0</v>
      </c>
      <c r="CC22" s="319"/>
      <c r="CD22" s="499"/>
      <c r="CE22" s="319"/>
      <c r="CF22" s="499">
        <v>0</v>
      </c>
      <c r="CG22" s="319"/>
      <c r="CH22" s="499"/>
      <c r="CI22" s="319"/>
      <c r="CJ22" s="319"/>
      <c r="CK22" s="319"/>
      <c r="CL22" s="319"/>
      <c r="CM22" s="319"/>
      <c r="CN22" s="499">
        <v>875</v>
      </c>
      <c r="CO22" s="319"/>
      <c r="CP22" s="499">
        <v>2100</v>
      </c>
      <c r="CQ22" s="499">
        <f>+CP22</f>
        <v>2100</v>
      </c>
      <c r="CR22" s="499"/>
      <c r="CS22" s="499">
        <f>SUM(CQ22:CR22)</f>
        <v>2100</v>
      </c>
      <c r="CT22" s="126">
        <f>CN22</f>
        <v>875</v>
      </c>
    </row>
    <row r="23" spans="1:101" ht="15.75" thickBot="1" x14ac:dyDescent="0.3">
      <c r="A23" s="496"/>
      <c r="B23" s="496"/>
      <c r="C23" s="496"/>
      <c r="D23" s="496"/>
      <c r="E23" s="496" t="s">
        <v>173</v>
      </c>
      <c r="F23" s="496"/>
      <c r="G23" s="496"/>
      <c r="H23" s="320">
        <v>0</v>
      </c>
      <c r="I23" s="319"/>
      <c r="J23" s="320"/>
      <c r="K23" s="319"/>
      <c r="L23" s="320">
        <v>1516.27</v>
      </c>
      <c r="M23" s="319"/>
      <c r="N23" s="320">
        <v>4370</v>
      </c>
      <c r="O23" s="319"/>
      <c r="P23" s="320">
        <v>1516.27</v>
      </c>
      <c r="Q23" s="319"/>
      <c r="R23" s="320">
        <v>4370</v>
      </c>
      <c r="S23" s="319"/>
      <c r="T23" s="320">
        <v>0</v>
      </c>
      <c r="U23" s="319"/>
      <c r="V23" s="320"/>
      <c r="W23" s="319"/>
      <c r="X23" s="320">
        <v>0</v>
      </c>
      <c r="Y23" s="319"/>
      <c r="Z23" s="319"/>
      <c r="AA23" s="319"/>
      <c r="AB23" s="319">
        <v>0</v>
      </c>
      <c r="AC23" s="319"/>
      <c r="AD23" s="319"/>
      <c r="AE23" s="319"/>
      <c r="AF23" s="319">
        <v>0</v>
      </c>
      <c r="AG23" s="319"/>
      <c r="AH23" s="319"/>
      <c r="AI23" s="319"/>
      <c r="AJ23" s="320">
        <v>0</v>
      </c>
      <c r="AK23" s="319"/>
      <c r="AL23" s="320"/>
      <c r="AM23" s="319"/>
      <c r="AN23" s="320">
        <v>0</v>
      </c>
      <c r="AO23" s="319"/>
      <c r="AP23" s="320"/>
      <c r="AQ23" s="319"/>
      <c r="AR23" s="320">
        <v>0</v>
      </c>
      <c r="AS23" s="319"/>
      <c r="AT23" s="320"/>
      <c r="AU23" s="319"/>
      <c r="AV23" s="320">
        <v>0</v>
      </c>
      <c r="AW23" s="319"/>
      <c r="AX23" s="319"/>
      <c r="AY23" s="319"/>
      <c r="AZ23" s="320">
        <v>0</v>
      </c>
      <c r="BA23" s="319"/>
      <c r="BB23" s="320"/>
      <c r="BC23" s="319"/>
      <c r="BD23" s="320">
        <v>0</v>
      </c>
      <c r="BE23" s="319"/>
      <c r="BF23" s="320"/>
      <c r="BG23" s="319"/>
      <c r="BH23" s="320">
        <v>0</v>
      </c>
      <c r="BI23" s="319"/>
      <c r="BJ23" s="499"/>
      <c r="BK23" s="319"/>
      <c r="BL23" s="320">
        <v>0</v>
      </c>
      <c r="BM23" s="319"/>
      <c r="BN23" s="320"/>
      <c r="BO23" s="319"/>
      <c r="BP23" s="320">
        <v>0</v>
      </c>
      <c r="BQ23" s="319"/>
      <c r="BR23" s="320"/>
      <c r="BS23" s="319"/>
      <c r="BT23" s="320">
        <v>0</v>
      </c>
      <c r="BU23" s="319"/>
      <c r="BV23" s="319"/>
      <c r="BW23" s="319"/>
      <c r="BX23" s="320">
        <v>0</v>
      </c>
      <c r="BY23" s="319"/>
      <c r="BZ23" s="320"/>
      <c r="CA23" s="319"/>
      <c r="CB23" s="320">
        <v>0</v>
      </c>
      <c r="CC23" s="319"/>
      <c r="CD23" s="320"/>
      <c r="CE23" s="319"/>
      <c r="CF23" s="320">
        <v>0</v>
      </c>
      <c r="CG23" s="319"/>
      <c r="CH23" s="320"/>
      <c r="CI23" s="319"/>
      <c r="CJ23" s="319"/>
      <c r="CK23" s="319"/>
      <c r="CL23" s="319"/>
      <c r="CM23" s="319"/>
      <c r="CN23" s="320">
        <v>1516.27</v>
      </c>
      <c r="CO23" s="319"/>
      <c r="CP23" s="320">
        <v>4370</v>
      </c>
      <c r="CQ23" s="497">
        <f>+CP23</f>
        <v>4370</v>
      </c>
      <c r="CR23" s="497"/>
      <c r="CS23" s="497">
        <f>SUM(CQ23:CR23)</f>
        <v>4370</v>
      </c>
      <c r="CT23" s="126">
        <f>CN23</f>
        <v>1516.27</v>
      </c>
    </row>
    <row r="24" spans="1:101" x14ac:dyDescent="0.25">
      <c r="A24" s="531"/>
      <c r="B24" s="531"/>
      <c r="C24" s="531"/>
      <c r="D24" s="531"/>
      <c r="E24" s="531" t="s">
        <v>212</v>
      </c>
      <c r="F24" s="531"/>
      <c r="G24" s="531"/>
      <c r="H24" s="497">
        <v>0</v>
      </c>
      <c r="I24" s="319"/>
      <c r="J24" s="497"/>
      <c r="K24" s="319"/>
      <c r="L24" s="497">
        <v>0</v>
      </c>
      <c r="M24" s="319"/>
      <c r="N24" s="497"/>
      <c r="O24" s="319"/>
      <c r="P24" s="497">
        <v>0</v>
      </c>
      <c r="Q24" s="319"/>
      <c r="R24" s="497"/>
      <c r="S24" s="319"/>
      <c r="T24" s="497">
        <v>0</v>
      </c>
      <c r="U24" s="319"/>
      <c r="V24" s="497"/>
      <c r="W24" s="319"/>
      <c r="X24" s="497">
        <v>0</v>
      </c>
      <c r="Y24" s="319"/>
      <c r="Z24" s="319"/>
      <c r="AA24" s="319"/>
      <c r="AB24" s="319">
        <v>122.06</v>
      </c>
      <c r="AC24" s="319"/>
      <c r="AD24" s="319"/>
      <c r="AE24" s="319"/>
      <c r="AF24" s="319">
        <v>0</v>
      </c>
      <c r="AG24" s="319"/>
      <c r="AH24" s="319"/>
      <c r="AI24" s="319"/>
      <c r="AJ24" s="497">
        <v>0</v>
      </c>
      <c r="AK24" s="319"/>
      <c r="AL24" s="497"/>
      <c r="AM24" s="319"/>
      <c r="AN24" s="497">
        <v>0</v>
      </c>
      <c r="AO24" s="319"/>
      <c r="AP24" s="497"/>
      <c r="AQ24" s="319"/>
      <c r="AR24" s="497">
        <v>122.06</v>
      </c>
      <c r="AS24" s="319"/>
      <c r="AT24" s="497"/>
      <c r="AU24" s="319"/>
      <c r="AV24" s="497">
        <v>0</v>
      </c>
      <c r="AW24" s="319"/>
      <c r="AX24" s="319"/>
      <c r="AY24" s="319"/>
      <c r="AZ24" s="497">
        <v>0</v>
      </c>
      <c r="BA24" s="319"/>
      <c r="BB24" s="497"/>
      <c r="BC24" s="319"/>
      <c r="BD24" s="497">
        <v>0</v>
      </c>
      <c r="BE24" s="319"/>
      <c r="BF24" s="497"/>
      <c r="BG24" s="319"/>
      <c r="BH24" s="497">
        <v>0</v>
      </c>
      <c r="BI24" s="319"/>
      <c r="BJ24" s="499"/>
      <c r="BK24" s="319"/>
      <c r="BL24" s="497">
        <v>50</v>
      </c>
      <c r="BM24" s="319"/>
      <c r="BN24" s="497"/>
      <c r="BO24" s="319"/>
      <c r="BP24" s="497">
        <v>50</v>
      </c>
      <c r="BQ24" s="319"/>
      <c r="BR24" s="497"/>
      <c r="BS24" s="319"/>
      <c r="BT24" s="497">
        <v>0</v>
      </c>
      <c r="BU24" s="319"/>
      <c r="BV24" s="319"/>
      <c r="BW24" s="319"/>
      <c r="BX24" s="497">
        <v>0</v>
      </c>
      <c r="BY24" s="319"/>
      <c r="BZ24" s="497"/>
      <c r="CA24" s="319"/>
      <c r="CB24" s="497">
        <v>0</v>
      </c>
      <c r="CC24" s="319"/>
      <c r="CD24" s="497"/>
      <c r="CE24" s="319"/>
      <c r="CF24" s="497">
        <v>172.06</v>
      </c>
      <c r="CG24" s="319"/>
      <c r="CH24" s="497"/>
      <c r="CI24" s="319"/>
      <c r="CJ24" s="319"/>
      <c r="CK24" s="319"/>
      <c r="CL24" s="319"/>
      <c r="CM24" s="319"/>
      <c r="CN24" s="497">
        <v>172.06</v>
      </c>
      <c r="CO24" s="319"/>
      <c r="CP24" s="497"/>
      <c r="CQ24" s="497"/>
      <c r="CR24" s="497"/>
      <c r="CS24" s="497"/>
      <c r="CT24" s="126">
        <f>CN24</f>
        <v>172.06</v>
      </c>
    </row>
    <row r="25" spans="1:101" x14ac:dyDescent="0.25">
      <c r="A25" s="496"/>
      <c r="B25" s="496"/>
      <c r="C25" s="496"/>
      <c r="D25" s="496" t="s">
        <v>32</v>
      </c>
      <c r="E25" s="496"/>
      <c r="F25" s="496"/>
      <c r="G25" s="496"/>
      <c r="H25" s="499">
        <v>146.91</v>
      </c>
      <c r="I25" s="319"/>
      <c r="J25" s="499">
        <v>550</v>
      </c>
      <c r="K25" s="319"/>
      <c r="L25" s="499">
        <v>11083.52</v>
      </c>
      <c r="M25" s="319"/>
      <c r="N25" s="499">
        <v>15870</v>
      </c>
      <c r="O25" s="319"/>
      <c r="P25" s="499">
        <v>11230.43</v>
      </c>
      <c r="Q25" s="319"/>
      <c r="R25" s="499">
        <v>16420</v>
      </c>
      <c r="S25" s="319"/>
      <c r="T25" s="499">
        <v>35239.22</v>
      </c>
      <c r="U25" s="319"/>
      <c r="V25" s="499">
        <v>155000</v>
      </c>
      <c r="W25" s="319"/>
      <c r="X25" s="499">
        <v>0</v>
      </c>
      <c r="Y25" s="319"/>
      <c r="Z25" s="319"/>
      <c r="AA25" s="319"/>
      <c r="AB25" s="319">
        <v>752.19</v>
      </c>
      <c r="AC25" s="319"/>
      <c r="AD25" s="319"/>
      <c r="AE25" s="319"/>
      <c r="AF25" s="319">
        <v>3000</v>
      </c>
      <c r="AG25" s="319"/>
      <c r="AH25" s="319"/>
      <c r="AI25" s="319"/>
      <c r="AJ25" s="499">
        <v>0</v>
      </c>
      <c r="AK25" s="319"/>
      <c r="AL25" s="499">
        <v>0</v>
      </c>
      <c r="AM25" s="319"/>
      <c r="AN25" s="499">
        <v>0</v>
      </c>
      <c r="AO25" s="319"/>
      <c r="AP25" s="499">
        <v>125000</v>
      </c>
      <c r="AQ25" s="319"/>
      <c r="AR25" s="499">
        <v>3752.19</v>
      </c>
      <c r="AS25" s="319"/>
      <c r="AT25" s="499">
        <v>125000</v>
      </c>
      <c r="AU25" s="319"/>
      <c r="AV25" s="499">
        <v>0</v>
      </c>
      <c r="AW25" s="319"/>
      <c r="AX25" s="319"/>
      <c r="AY25" s="319"/>
      <c r="AZ25" s="499">
        <v>0</v>
      </c>
      <c r="BA25" s="319"/>
      <c r="BB25" s="499">
        <v>125000</v>
      </c>
      <c r="BC25" s="319"/>
      <c r="BD25" s="499">
        <v>0</v>
      </c>
      <c r="BE25" s="319"/>
      <c r="BF25" s="499">
        <v>125000</v>
      </c>
      <c r="BG25" s="319"/>
      <c r="BH25" s="499">
        <v>0</v>
      </c>
      <c r="BI25" s="319"/>
      <c r="BJ25" s="499"/>
      <c r="BK25" s="319"/>
      <c r="BL25" s="499">
        <v>8303.2199999999993</v>
      </c>
      <c r="BM25" s="319"/>
      <c r="BN25" s="499">
        <v>90000</v>
      </c>
      <c r="BO25" s="319"/>
      <c r="BP25" s="499">
        <v>8303.2199999999993</v>
      </c>
      <c r="BQ25" s="319"/>
      <c r="BR25" s="499">
        <v>215000</v>
      </c>
      <c r="BS25" s="319"/>
      <c r="BT25" s="499">
        <v>0</v>
      </c>
      <c r="BU25" s="319"/>
      <c r="BV25" s="319"/>
      <c r="BW25" s="319"/>
      <c r="BX25" s="499">
        <v>3713.35</v>
      </c>
      <c r="BY25" s="319"/>
      <c r="BZ25" s="499">
        <v>133750</v>
      </c>
      <c r="CA25" s="319"/>
      <c r="CB25" s="499">
        <v>3713.35</v>
      </c>
      <c r="CC25" s="319"/>
      <c r="CD25" s="499">
        <v>133750</v>
      </c>
      <c r="CE25" s="319"/>
      <c r="CF25" s="499">
        <v>15768.76</v>
      </c>
      <c r="CG25" s="319"/>
      <c r="CH25" s="499">
        <v>473750</v>
      </c>
      <c r="CI25" s="319"/>
      <c r="CJ25" s="319"/>
      <c r="CK25" s="319"/>
      <c r="CL25" s="319"/>
      <c r="CM25" s="319"/>
      <c r="CN25" s="499">
        <v>62238.41</v>
      </c>
      <c r="CO25" s="319"/>
      <c r="CP25" s="499">
        <v>645170</v>
      </c>
      <c r="CQ25" s="499"/>
      <c r="CR25" s="499"/>
      <c r="CS25" s="499"/>
    </row>
    <row r="26" spans="1:101" x14ac:dyDescent="0.25">
      <c r="A26" s="496"/>
      <c r="B26" s="496"/>
      <c r="C26" s="496"/>
      <c r="D26" s="496" t="s">
        <v>175</v>
      </c>
      <c r="E26" s="496"/>
      <c r="F26" s="496"/>
      <c r="G26" s="496"/>
      <c r="H26" s="499">
        <v>0</v>
      </c>
      <c r="I26" s="319"/>
      <c r="J26" s="499"/>
      <c r="K26" s="319"/>
      <c r="L26" s="499">
        <v>0</v>
      </c>
      <c r="M26" s="319"/>
      <c r="N26" s="499"/>
      <c r="O26" s="319"/>
      <c r="P26" s="499">
        <v>0</v>
      </c>
      <c r="Q26" s="319"/>
      <c r="R26" s="499"/>
      <c r="S26" s="319"/>
      <c r="T26" s="499">
        <v>0</v>
      </c>
      <c r="U26" s="319"/>
      <c r="V26" s="499"/>
      <c r="W26" s="319"/>
      <c r="X26" s="499">
        <v>0</v>
      </c>
      <c r="Y26" s="319"/>
      <c r="Z26" s="319"/>
      <c r="AA26" s="319"/>
      <c r="AB26" s="319">
        <v>0</v>
      </c>
      <c r="AC26" s="319"/>
      <c r="AD26" s="319"/>
      <c r="AE26" s="319"/>
      <c r="AF26" s="319">
        <v>0</v>
      </c>
      <c r="AG26" s="319"/>
      <c r="AH26" s="319"/>
      <c r="AI26" s="319"/>
      <c r="AJ26" s="499">
        <v>0</v>
      </c>
      <c r="AK26" s="319"/>
      <c r="AL26" s="499"/>
      <c r="AM26" s="319"/>
      <c r="AN26" s="499">
        <v>0</v>
      </c>
      <c r="AO26" s="319"/>
      <c r="AP26" s="499"/>
      <c r="AQ26" s="319"/>
      <c r="AR26" s="499">
        <v>0</v>
      </c>
      <c r="AS26" s="319"/>
      <c r="AT26" s="499"/>
      <c r="AU26" s="319"/>
      <c r="AV26" s="499">
        <v>0</v>
      </c>
      <c r="AW26" s="319"/>
      <c r="AX26" s="319"/>
      <c r="AY26" s="319"/>
      <c r="AZ26" s="499">
        <v>0</v>
      </c>
      <c r="BA26" s="319"/>
      <c r="BB26" s="499"/>
      <c r="BC26" s="319"/>
      <c r="BD26" s="499">
        <v>0</v>
      </c>
      <c r="BE26" s="319"/>
      <c r="BF26" s="499"/>
      <c r="BG26" s="319"/>
      <c r="BH26" s="499">
        <v>0</v>
      </c>
      <c r="BI26" s="319"/>
      <c r="BJ26" s="499"/>
      <c r="BK26" s="319"/>
      <c r="BL26" s="499">
        <v>1861.26</v>
      </c>
      <c r="BM26" s="319"/>
      <c r="BN26" s="499"/>
      <c r="BO26" s="319"/>
      <c r="BP26" s="499">
        <v>1861.26</v>
      </c>
      <c r="BQ26" s="319"/>
      <c r="BR26" s="499"/>
      <c r="BS26" s="319"/>
      <c r="BT26" s="499">
        <v>0</v>
      </c>
      <c r="BU26" s="319"/>
      <c r="BV26" s="319"/>
      <c r="BW26" s="319"/>
      <c r="BX26" s="499">
        <v>0</v>
      </c>
      <c r="BY26" s="319"/>
      <c r="BZ26" s="499"/>
      <c r="CA26" s="319"/>
      <c r="CB26" s="499">
        <v>0</v>
      </c>
      <c r="CC26" s="319"/>
      <c r="CD26" s="499"/>
      <c r="CE26" s="319"/>
      <c r="CF26" s="499">
        <v>1861.26</v>
      </c>
      <c r="CG26" s="319"/>
      <c r="CH26" s="499"/>
      <c r="CI26" s="319"/>
      <c r="CJ26" s="319"/>
      <c r="CK26" s="319"/>
      <c r="CL26" s="319"/>
      <c r="CM26" s="319"/>
      <c r="CN26" s="499">
        <v>1861.26</v>
      </c>
      <c r="CO26" s="319"/>
      <c r="CP26" s="499"/>
      <c r="CQ26" s="499"/>
      <c r="CR26" s="499"/>
      <c r="CS26" s="499"/>
      <c r="CT26" s="126">
        <f>CN26</f>
        <v>1861.26</v>
      </c>
    </row>
    <row r="27" spans="1:101" x14ac:dyDescent="0.25">
      <c r="A27" s="496"/>
      <c r="B27" s="496"/>
      <c r="C27" s="496" t="s">
        <v>178</v>
      </c>
      <c r="D27" s="496"/>
      <c r="E27" s="496"/>
      <c r="F27" s="496"/>
      <c r="G27" s="496"/>
      <c r="H27" s="499">
        <v>146.91</v>
      </c>
      <c r="I27" s="319"/>
      <c r="J27" s="499">
        <v>550</v>
      </c>
      <c r="K27" s="319"/>
      <c r="L27" s="499">
        <v>11083.52</v>
      </c>
      <c r="M27" s="319"/>
      <c r="N27" s="499">
        <v>15870</v>
      </c>
      <c r="O27" s="319"/>
      <c r="P27" s="499">
        <v>11230.43</v>
      </c>
      <c r="Q27" s="319"/>
      <c r="R27" s="499">
        <v>16420</v>
      </c>
      <c r="S27" s="319"/>
      <c r="T27" s="499">
        <v>35239.22</v>
      </c>
      <c r="U27" s="319"/>
      <c r="V27" s="499">
        <v>155000</v>
      </c>
      <c r="W27" s="319"/>
      <c r="X27" s="499">
        <v>0</v>
      </c>
      <c r="Y27" s="319"/>
      <c r="Z27" s="319"/>
      <c r="AA27" s="319"/>
      <c r="AB27" s="319">
        <v>752.19</v>
      </c>
      <c r="AC27" s="319"/>
      <c r="AD27" s="319"/>
      <c r="AE27" s="319"/>
      <c r="AF27" s="319">
        <v>3000</v>
      </c>
      <c r="AG27" s="319"/>
      <c r="AH27" s="319"/>
      <c r="AI27" s="319"/>
      <c r="AJ27" s="499">
        <v>0</v>
      </c>
      <c r="AK27" s="319"/>
      <c r="AL27" s="499">
        <v>0</v>
      </c>
      <c r="AM27" s="319"/>
      <c r="AN27" s="499">
        <v>0</v>
      </c>
      <c r="AO27" s="319"/>
      <c r="AP27" s="499">
        <v>125000</v>
      </c>
      <c r="AQ27" s="319"/>
      <c r="AR27" s="499">
        <v>3752.19</v>
      </c>
      <c r="AS27" s="319"/>
      <c r="AT27" s="499">
        <v>125000</v>
      </c>
      <c r="AU27" s="319"/>
      <c r="AV27" s="499">
        <v>0</v>
      </c>
      <c r="AW27" s="319"/>
      <c r="AX27" s="319"/>
      <c r="AY27" s="319"/>
      <c r="AZ27" s="499">
        <v>0</v>
      </c>
      <c r="BA27" s="319"/>
      <c r="BB27" s="499">
        <v>125000</v>
      </c>
      <c r="BC27" s="319"/>
      <c r="BD27" s="499">
        <v>0</v>
      </c>
      <c r="BE27" s="319"/>
      <c r="BF27" s="499">
        <v>125000</v>
      </c>
      <c r="BG27" s="319"/>
      <c r="BH27" s="499">
        <v>0</v>
      </c>
      <c r="BI27" s="319"/>
      <c r="BJ27" s="499"/>
      <c r="BK27" s="319"/>
      <c r="BL27" s="499">
        <v>6441.96</v>
      </c>
      <c r="BM27" s="319"/>
      <c r="BN27" s="499">
        <v>90000</v>
      </c>
      <c r="BO27" s="319"/>
      <c r="BP27" s="499">
        <v>6441.96</v>
      </c>
      <c r="BQ27" s="319"/>
      <c r="BR27" s="499">
        <v>215000</v>
      </c>
      <c r="BS27" s="319"/>
      <c r="BT27" s="499">
        <v>0</v>
      </c>
      <c r="BU27" s="319"/>
      <c r="BV27" s="319"/>
      <c r="BW27" s="319"/>
      <c r="BX27" s="499">
        <v>3713.35</v>
      </c>
      <c r="BY27" s="319"/>
      <c r="BZ27" s="499">
        <v>133750</v>
      </c>
      <c r="CA27" s="319"/>
      <c r="CB27" s="499">
        <v>3713.35</v>
      </c>
      <c r="CC27" s="319"/>
      <c r="CD27" s="499">
        <v>133750</v>
      </c>
      <c r="CE27" s="319"/>
      <c r="CF27" s="499">
        <v>13907.5</v>
      </c>
      <c r="CG27" s="319"/>
      <c r="CH27" s="499">
        <v>473750</v>
      </c>
      <c r="CI27" s="319"/>
      <c r="CJ27" s="319"/>
      <c r="CK27" s="319"/>
      <c r="CL27" s="319"/>
      <c r="CM27" s="319"/>
      <c r="CN27" s="499">
        <v>60377.15</v>
      </c>
      <c r="CO27" s="319"/>
      <c r="CP27" s="499">
        <v>645170</v>
      </c>
      <c r="CQ27" s="499">
        <f>SUM(CQ8:CQ26)</f>
        <v>261420</v>
      </c>
      <c r="CR27" s="499">
        <f>SUM(CR8:CR26)</f>
        <v>383750</v>
      </c>
      <c r="CS27" s="499">
        <f>SUM(CQ27:CR27)</f>
        <v>645170</v>
      </c>
      <c r="CT27" s="126">
        <f>SUM(CT8:CT25)-CT26</f>
        <v>53663.799999999996</v>
      </c>
      <c r="CU27" s="490">
        <f>SUM(CU8:CU25)-CU26</f>
        <v>6713.35</v>
      </c>
      <c r="CV27" s="126">
        <f>SUM(CT27:CU27)</f>
        <v>60377.149999999994</v>
      </c>
    </row>
    <row r="28" spans="1:101" x14ac:dyDescent="0.25">
      <c r="A28" s="496"/>
      <c r="B28" s="496"/>
      <c r="C28" s="496"/>
      <c r="D28" s="496" t="s">
        <v>68</v>
      </c>
      <c r="E28" s="496"/>
      <c r="F28" s="496"/>
      <c r="G28" s="496"/>
      <c r="H28" s="499"/>
      <c r="I28" s="319"/>
      <c r="J28" s="499"/>
      <c r="K28" s="319"/>
      <c r="L28" s="499"/>
      <c r="M28" s="319"/>
      <c r="N28" s="499"/>
      <c r="O28" s="319"/>
      <c r="P28" s="499"/>
      <c r="Q28" s="319"/>
      <c r="R28" s="499"/>
      <c r="S28" s="319"/>
      <c r="T28" s="499"/>
      <c r="U28" s="319"/>
      <c r="V28" s="499"/>
      <c r="W28" s="319"/>
      <c r="X28" s="499"/>
      <c r="Y28" s="319"/>
      <c r="Z28" s="319"/>
      <c r="AA28" s="319"/>
      <c r="AB28" s="319"/>
      <c r="AC28" s="319"/>
      <c r="AD28" s="319"/>
      <c r="AE28" s="319"/>
      <c r="AF28" s="319"/>
      <c r="AG28" s="319"/>
      <c r="AH28" s="319"/>
      <c r="AI28" s="319"/>
      <c r="AJ28" s="499"/>
      <c r="AK28" s="319"/>
      <c r="AL28" s="499"/>
      <c r="AM28" s="319"/>
      <c r="AN28" s="499"/>
      <c r="AO28" s="319"/>
      <c r="AP28" s="499"/>
      <c r="AQ28" s="319"/>
      <c r="AR28" s="499"/>
      <c r="AS28" s="319"/>
      <c r="AT28" s="499"/>
      <c r="AU28" s="319"/>
      <c r="AV28" s="499"/>
      <c r="AW28" s="319"/>
      <c r="AX28" s="319"/>
      <c r="AY28" s="319"/>
      <c r="AZ28" s="499"/>
      <c r="BA28" s="319"/>
      <c r="BB28" s="499"/>
      <c r="BC28" s="319"/>
      <c r="BD28" s="499"/>
      <c r="BE28" s="319"/>
      <c r="BF28" s="499"/>
      <c r="BG28" s="319"/>
      <c r="BH28" s="499"/>
      <c r="BI28" s="319"/>
      <c r="BJ28" s="499"/>
      <c r="BK28" s="319"/>
      <c r="BL28" s="499"/>
      <c r="BM28" s="319"/>
      <c r="BN28" s="499"/>
      <c r="BO28" s="319"/>
      <c r="BP28" s="499"/>
      <c r="BQ28" s="319"/>
      <c r="BR28" s="499"/>
      <c r="BS28" s="319"/>
      <c r="BT28" s="499"/>
      <c r="BU28" s="319"/>
      <c r="BV28" s="319"/>
      <c r="BW28" s="319"/>
      <c r="BX28" s="499"/>
      <c r="BY28" s="319"/>
      <c r="BZ28" s="499"/>
      <c r="CA28" s="319"/>
      <c r="CB28" s="499"/>
      <c r="CC28" s="319"/>
      <c r="CD28" s="499"/>
      <c r="CE28" s="319"/>
      <c r="CF28" s="499"/>
      <c r="CG28" s="319"/>
      <c r="CH28" s="499"/>
      <c r="CI28" s="319"/>
      <c r="CJ28" s="319"/>
      <c r="CK28" s="319"/>
      <c r="CL28" s="319"/>
      <c r="CM28" s="319"/>
      <c r="CN28" s="499"/>
      <c r="CO28" s="319"/>
      <c r="CP28" s="499"/>
      <c r="CQ28" s="499"/>
      <c r="CR28" s="499"/>
      <c r="CS28" s="499"/>
    </row>
    <row r="29" spans="1:101" x14ac:dyDescent="0.25">
      <c r="A29" s="496"/>
      <c r="B29" s="496"/>
      <c r="C29" s="496"/>
      <c r="D29" s="496"/>
      <c r="E29" s="496" t="s">
        <v>179</v>
      </c>
      <c r="F29" s="496"/>
      <c r="G29" s="496"/>
      <c r="H29" s="499">
        <v>769.27</v>
      </c>
      <c r="I29" s="319"/>
      <c r="J29" s="499">
        <v>8022</v>
      </c>
      <c r="K29" s="319"/>
      <c r="L29" s="499">
        <v>6145.87</v>
      </c>
      <c r="M29" s="319"/>
      <c r="N29" s="499">
        <v>20131</v>
      </c>
      <c r="O29" s="319"/>
      <c r="P29" s="499">
        <v>6915.14</v>
      </c>
      <c r="Q29" s="319"/>
      <c r="R29" s="499">
        <v>28153</v>
      </c>
      <c r="S29" s="319"/>
      <c r="T29" s="499">
        <v>20629.82</v>
      </c>
      <c r="U29" s="319"/>
      <c r="V29" s="499">
        <v>75687</v>
      </c>
      <c r="W29" s="319"/>
      <c r="X29" s="499">
        <v>0</v>
      </c>
      <c r="Y29" s="319"/>
      <c r="Z29" s="319"/>
      <c r="AA29" s="319"/>
      <c r="AB29" s="319">
        <v>0</v>
      </c>
      <c r="AC29" s="319"/>
      <c r="AD29" s="319"/>
      <c r="AE29" s="319"/>
      <c r="AF29" s="319">
        <v>0</v>
      </c>
      <c r="AG29" s="319"/>
      <c r="AH29" s="319"/>
      <c r="AI29" s="319"/>
      <c r="AJ29" s="499">
        <v>3026.22</v>
      </c>
      <c r="AK29" s="319"/>
      <c r="AL29" s="498">
        <v>13258</v>
      </c>
      <c r="AM29" s="319"/>
      <c r="AN29" s="501">
        <v>4564.7299999999996</v>
      </c>
      <c r="AO29" s="319"/>
      <c r="AP29" s="499">
        <v>29302</v>
      </c>
      <c r="AQ29" s="319"/>
      <c r="AR29" s="498">
        <v>7590.95</v>
      </c>
      <c r="AS29" s="319"/>
      <c r="AT29" s="499">
        <v>42560</v>
      </c>
      <c r="AU29" s="319"/>
      <c r="AV29" s="499">
        <v>0</v>
      </c>
      <c r="AW29" s="319"/>
      <c r="AX29" s="319"/>
      <c r="AY29" s="319"/>
      <c r="AZ29" s="501">
        <v>19751.349999999999</v>
      </c>
      <c r="BA29" s="319"/>
      <c r="BB29" s="499">
        <v>45449</v>
      </c>
      <c r="BC29" s="319"/>
      <c r="BD29" s="499">
        <v>19751.349999999999</v>
      </c>
      <c r="BE29" s="319"/>
      <c r="BF29" s="499">
        <v>45449</v>
      </c>
      <c r="BG29" s="319"/>
      <c r="BH29" s="501">
        <v>5031.62</v>
      </c>
      <c r="BI29" s="319"/>
      <c r="BJ29" s="499">
        <v>11277</v>
      </c>
      <c r="BK29" s="319"/>
      <c r="BL29" s="500">
        <v>4758.0200000000004</v>
      </c>
      <c r="BM29" s="319"/>
      <c r="BN29" s="499">
        <v>10772</v>
      </c>
      <c r="BO29" s="319"/>
      <c r="BP29" s="499">
        <v>29540.99</v>
      </c>
      <c r="BQ29" s="319"/>
      <c r="BR29" s="499">
        <v>67498</v>
      </c>
      <c r="BS29" s="319"/>
      <c r="BT29" s="499">
        <v>0</v>
      </c>
      <c r="BU29" s="319"/>
      <c r="BV29" s="319"/>
      <c r="BW29" s="319"/>
      <c r="BX29" s="499">
        <v>30335.62</v>
      </c>
      <c r="BY29" s="319"/>
      <c r="BZ29" s="499">
        <v>78550</v>
      </c>
      <c r="CA29" s="319"/>
      <c r="CB29" s="489">
        <v>30335.62</v>
      </c>
      <c r="CC29" s="319"/>
      <c r="CD29" s="499">
        <v>78550</v>
      </c>
      <c r="CE29" s="319"/>
      <c r="CF29" s="499">
        <v>67467.56</v>
      </c>
      <c r="CG29" s="319"/>
      <c r="CH29" s="499">
        <v>188608</v>
      </c>
      <c r="CI29" s="319"/>
      <c r="CJ29" s="319"/>
      <c r="CK29" s="319"/>
      <c r="CL29" s="319"/>
      <c r="CM29" s="319"/>
      <c r="CN29" s="499">
        <v>95012.52</v>
      </c>
      <c r="CO29" s="319"/>
      <c r="CP29" s="499">
        <v>292448</v>
      </c>
      <c r="CQ29" s="499">
        <v>114612</v>
      </c>
      <c r="CR29" s="499">
        <v>177836</v>
      </c>
      <c r="CS29" s="499">
        <f>SUM(CQ29:CR29)</f>
        <v>292448</v>
      </c>
      <c r="CT29" s="352">
        <f>CN29-CF29+BL29+BH29+AZ29+AN29</f>
        <v>61650.680000000008</v>
      </c>
      <c r="CU29" s="351">
        <f>CF29-BL29-BH29-AZ29-AN29</f>
        <v>33361.839999999997</v>
      </c>
      <c r="CV29" s="351">
        <f t="shared" ref="CV29:CV48" si="0">SUM(CT29:CU29)</f>
        <v>95012.52</v>
      </c>
      <c r="CW29" s="351"/>
    </row>
    <row r="30" spans="1:101" x14ac:dyDescent="0.25">
      <c r="A30" s="496"/>
      <c r="B30" s="496"/>
      <c r="C30" s="496"/>
      <c r="D30" s="496"/>
      <c r="E30" s="496" t="s">
        <v>231</v>
      </c>
      <c r="F30" s="496"/>
      <c r="G30" s="496"/>
      <c r="H30" s="499">
        <v>0</v>
      </c>
      <c r="I30" s="319"/>
      <c r="J30" s="499"/>
      <c r="K30" s="319"/>
      <c r="L30" s="499">
        <v>0</v>
      </c>
      <c r="M30" s="319"/>
      <c r="N30" s="499">
        <v>0</v>
      </c>
      <c r="O30" s="319"/>
      <c r="P30" s="499">
        <v>0</v>
      </c>
      <c r="Q30" s="319"/>
      <c r="R30" s="499">
        <v>0</v>
      </c>
      <c r="S30" s="319"/>
      <c r="T30" s="499">
        <v>0</v>
      </c>
      <c r="U30" s="319"/>
      <c r="V30" s="499"/>
      <c r="W30" s="319"/>
      <c r="X30" s="499">
        <v>0</v>
      </c>
      <c r="Y30" s="319"/>
      <c r="Z30" s="319"/>
      <c r="AA30" s="319"/>
      <c r="AB30" s="319">
        <v>0</v>
      </c>
      <c r="AC30" s="319"/>
      <c r="AD30" s="319"/>
      <c r="AE30" s="319"/>
      <c r="AF30" s="319">
        <v>0</v>
      </c>
      <c r="AG30" s="319"/>
      <c r="AH30" s="319"/>
      <c r="AI30" s="319"/>
      <c r="AJ30" s="499">
        <v>0</v>
      </c>
      <c r="AK30" s="319"/>
      <c r="AL30" s="499"/>
      <c r="AM30" s="319"/>
      <c r="AN30" s="499">
        <v>0</v>
      </c>
      <c r="AO30" s="319"/>
      <c r="AP30" s="499"/>
      <c r="AQ30" s="319"/>
      <c r="AR30" s="499">
        <v>0</v>
      </c>
      <c r="AS30" s="319"/>
      <c r="AT30" s="499"/>
      <c r="AU30" s="319"/>
      <c r="AV30" s="499">
        <v>0</v>
      </c>
      <c r="AW30" s="319"/>
      <c r="AX30" s="319"/>
      <c r="AY30" s="319"/>
      <c r="AZ30" s="499">
        <v>0</v>
      </c>
      <c r="BA30" s="319"/>
      <c r="BB30" s="499"/>
      <c r="BC30" s="319"/>
      <c r="BD30" s="499">
        <v>0</v>
      </c>
      <c r="BE30" s="319"/>
      <c r="BF30" s="499"/>
      <c r="BG30" s="319"/>
      <c r="BH30" s="499">
        <v>0</v>
      </c>
      <c r="BI30" s="319"/>
      <c r="BJ30" s="499"/>
      <c r="BK30" s="319"/>
      <c r="BL30" s="499">
        <v>0</v>
      </c>
      <c r="BM30" s="319"/>
      <c r="BN30" s="499"/>
      <c r="BO30" s="319"/>
      <c r="BP30" s="499">
        <v>0</v>
      </c>
      <c r="BQ30" s="319"/>
      <c r="BR30" s="499"/>
      <c r="BS30" s="319"/>
      <c r="BT30" s="499">
        <v>0</v>
      </c>
      <c r="BU30" s="319"/>
      <c r="BV30" s="319"/>
      <c r="BW30" s="319"/>
      <c r="BX30" s="499">
        <v>0</v>
      </c>
      <c r="BY30" s="319"/>
      <c r="BZ30" s="499"/>
      <c r="CA30" s="319"/>
      <c r="CB30" s="499">
        <v>0</v>
      </c>
      <c r="CC30" s="319"/>
      <c r="CD30" s="499"/>
      <c r="CE30" s="319"/>
      <c r="CF30" s="499">
        <v>0</v>
      </c>
      <c r="CG30" s="319"/>
      <c r="CH30" s="499"/>
      <c r="CI30" s="319"/>
      <c r="CJ30" s="319"/>
      <c r="CK30" s="319"/>
      <c r="CL30" s="319"/>
      <c r="CM30" s="319"/>
      <c r="CN30" s="499">
        <v>0</v>
      </c>
      <c r="CO30" s="319"/>
      <c r="CP30" s="499">
        <v>0</v>
      </c>
      <c r="CQ30" s="499"/>
      <c r="CR30" s="499"/>
      <c r="CS30" s="499"/>
      <c r="CT30" s="352">
        <f t="shared" ref="CT30:CT48" si="1">CN30-CF30+BL30+BH30+AZ30+AN30</f>
        <v>0</v>
      </c>
      <c r="CU30" s="351">
        <f t="shared" ref="CU30:CU48" si="2">CF30-BL30-BH30-AZ30-AN30</f>
        <v>0</v>
      </c>
      <c r="CV30" s="351">
        <f t="shared" si="0"/>
        <v>0</v>
      </c>
    </row>
    <row r="31" spans="1:101" x14ac:dyDescent="0.25">
      <c r="A31" s="496"/>
      <c r="B31" s="496"/>
      <c r="C31" s="496"/>
      <c r="D31" s="496"/>
      <c r="E31" s="496" t="s">
        <v>213</v>
      </c>
      <c r="F31" s="496"/>
      <c r="G31" s="496"/>
      <c r="H31" s="499">
        <v>0</v>
      </c>
      <c r="I31" s="319"/>
      <c r="J31" s="499"/>
      <c r="K31" s="319"/>
      <c r="L31" s="499">
        <v>7105.75</v>
      </c>
      <c r="M31" s="319"/>
      <c r="N31" s="499">
        <v>20450</v>
      </c>
      <c r="O31" s="319"/>
      <c r="P31" s="499">
        <v>7105.75</v>
      </c>
      <c r="Q31" s="319"/>
      <c r="R31" s="499">
        <v>20450</v>
      </c>
      <c r="S31" s="319"/>
      <c r="T31" s="499">
        <v>0</v>
      </c>
      <c r="U31" s="319"/>
      <c r="V31" s="499"/>
      <c r="W31" s="319"/>
      <c r="X31" s="499">
        <v>0</v>
      </c>
      <c r="Y31" s="319"/>
      <c r="Z31" s="319"/>
      <c r="AA31" s="319"/>
      <c r="AB31" s="319">
        <v>0</v>
      </c>
      <c r="AC31" s="319"/>
      <c r="AD31" s="319"/>
      <c r="AE31" s="319"/>
      <c r="AF31" s="319">
        <v>0</v>
      </c>
      <c r="AG31" s="319"/>
      <c r="AH31" s="319"/>
      <c r="AI31" s="319"/>
      <c r="AJ31" s="499">
        <v>0</v>
      </c>
      <c r="AK31" s="319"/>
      <c r="AL31" s="499"/>
      <c r="AM31" s="319"/>
      <c r="AN31" s="499">
        <v>0</v>
      </c>
      <c r="AO31" s="319"/>
      <c r="AP31" s="499"/>
      <c r="AQ31" s="319"/>
      <c r="AR31" s="499">
        <v>0</v>
      </c>
      <c r="AS31" s="319"/>
      <c r="AT31" s="499"/>
      <c r="AU31" s="319"/>
      <c r="AV31" s="499">
        <v>0</v>
      </c>
      <c r="AW31" s="319"/>
      <c r="AX31" s="319"/>
      <c r="AY31" s="319"/>
      <c r="AZ31" s="499">
        <v>0</v>
      </c>
      <c r="BA31" s="319"/>
      <c r="BB31" s="499"/>
      <c r="BC31" s="319"/>
      <c r="BD31" s="499">
        <v>0</v>
      </c>
      <c r="BE31" s="319"/>
      <c r="BF31" s="499"/>
      <c r="BG31" s="319"/>
      <c r="BH31" s="499">
        <v>0</v>
      </c>
      <c r="BI31" s="319"/>
      <c r="BJ31" s="499"/>
      <c r="BK31" s="319"/>
      <c r="BL31" s="499">
        <v>0</v>
      </c>
      <c r="BM31" s="319"/>
      <c r="BN31" s="499"/>
      <c r="BO31" s="319"/>
      <c r="BP31" s="499">
        <v>0</v>
      </c>
      <c r="BQ31" s="319"/>
      <c r="BR31" s="499"/>
      <c r="BS31" s="319"/>
      <c r="BT31" s="499">
        <v>0</v>
      </c>
      <c r="BU31" s="319"/>
      <c r="BV31" s="319"/>
      <c r="BW31" s="319"/>
      <c r="BX31" s="499">
        <v>0</v>
      </c>
      <c r="BY31" s="319"/>
      <c r="BZ31" s="499"/>
      <c r="CA31" s="319"/>
      <c r="CB31" s="499">
        <v>0</v>
      </c>
      <c r="CC31" s="319"/>
      <c r="CD31" s="499"/>
      <c r="CE31" s="319"/>
      <c r="CF31" s="499">
        <v>0</v>
      </c>
      <c r="CG31" s="319"/>
      <c r="CH31" s="499"/>
      <c r="CI31" s="319"/>
      <c r="CJ31" s="319"/>
      <c r="CK31" s="319"/>
      <c r="CL31" s="319"/>
      <c r="CM31" s="319"/>
      <c r="CN31" s="499">
        <v>7105.75</v>
      </c>
      <c r="CO31" s="319"/>
      <c r="CP31" s="499">
        <v>20450</v>
      </c>
      <c r="CQ31" s="499">
        <v>20450</v>
      </c>
      <c r="CR31" s="499"/>
      <c r="CS31" s="499">
        <f t="shared" ref="CS31:CS41" si="3">SUM(CQ31:CR31)</f>
        <v>20450</v>
      </c>
      <c r="CT31" s="352">
        <f t="shared" si="1"/>
        <v>7105.75</v>
      </c>
      <c r="CU31" s="351">
        <f t="shared" si="2"/>
        <v>0</v>
      </c>
      <c r="CV31" s="351">
        <f t="shared" si="0"/>
        <v>7105.75</v>
      </c>
    </row>
    <row r="32" spans="1:101" x14ac:dyDescent="0.25">
      <c r="A32" s="496"/>
      <c r="B32" s="496"/>
      <c r="C32" s="496"/>
      <c r="D32" s="496"/>
      <c r="E32" s="496" t="s">
        <v>215</v>
      </c>
      <c r="F32" s="496"/>
      <c r="G32" s="496"/>
      <c r="H32" s="499">
        <v>0</v>
      </c>
      <c r="I32" s="319"/>
      <c r="J32" s="499"/>
      <c r="K32" s="319"/>
      <c r="L32" s="499">
        <v>467</v>
      </c>
      <c r="M32" s="319"/>
      <c r="N32" s="499">
        <v>1500</v>
      </c>
      <c r="O32" s="319"/>
      <c r="P32" s="499">
        <v>467</v>
      </c>
      <c r="Q32" s="319"/>
      <c r="R32" s="499">
        <v>1500</v>
      </c>
      <c r="S32" s="319"/>
      <c r="T32" s="499">
        <v>249.59</v>
      </c>
      <c r="U32" s="319"/>
      <c r="V32" s="499">
        <v>1500</v>
      </c>
      <c r="W32" s="319"/>
      <c r="X32" s="499">
        <v>0</v>
      </c>
      <c r="Y32" s="319"/>
      <c r="Z32" s="319"/>
      <c r="AA32" s="319"/>
      <c r="AB32" s="319">
        <v>0</v>
      </c>
      <c r="AC32" s="319"/>
      <c r="AD32" s="319"/>
      <c r="AE32" s="319"/>
      <c r="AF32" s="319">
        <v>0</v>
      </c>
      <c r="AG32" s="319"/>
      <c r="AH32" s="319"/>
      <c r="AI32" s="319"/>
      <c r="AJ32" s="499">
        <v>0</v>
      </c>
      <c r="AK32" s="319"/>
      <c r="AL32" s="499"/>
      <c r="AM32" s="319"/>
      <c r="AN32" s="499">
        <v>0</v>
      </c>
      <c r="AO32" s="319"/>
      <c r="AP32" s="499"/>
      <c r="AQ32" s="319"/>
      <c r="AR32" s="499">
        <v>0</v>
      </c>
      <c r="AS32" s="319"/>
      <c r="AT32" s="499"/>
      <c r="AU32" s="319"/>
      <c r="AV32" s="499">
        <v>0</v>
      </c>
      <c r="AW32" s="319"/>
      <c r="AX32" s="319"/>
      <c r="AY32" s="319"/>
      <c r="AZ32" s="499">
        <v>0</v>
      </c>
      <c r="BA32" s="319"/>
      <c r="BB32" s="499">
        <v>500</v>
      </c>
      <c r="BC32" s="319"/>
      <c r="BD32" s="499">
        <v>0</v>
      </c>
      <c r="BE32" s="319"/>
      <c r="BF32" s="499">
        <v>500</v>
      </c>
      <c r="BG32" s="319"/>
      <c r="BH32" s="499">
        <v>0</v>
      </c>
      <c r="BI32" s="319"/>
      <c r="BJ32" s="499"/>
      <c r="BK32" s="319"/>
      <c r="BL32" s="499">
        <v>54.97</v>
      </c>
      <c r="BM32" s="319"/>
      <c r="BN32" s="499"/>
      <c r="BO32" s="319"/>
      <c r="BP32" s="499">
        <v>54.97</v>
      </c>
      <c r="BQ32" s="319"/>
      <c r="BR32" s="499">
        <v>500</v>
      </c>
      <c r="BS32" s="319"/>
      <c r="BT32" s="499">
        <v>0</v>
      </c>
      <c r="BU32" s="319"/>
      <c r="BV32" s="319"/>
      <c r="BW32" s="319"/>
      <c r="BX32" s="499">
        <v>14.1</v>
      </c>
      <c r="BY32" s="319"/>
      <c r="BZ32" s="499"/>
      <c r="CA32" s="319"/>
      <c r="CB32" s="499">
        <v>14.1</v>
      </c>
      <c r="CC32" s="319"/>
      <c r="CD32" s="499"/>
      <c r="CE32" s="319"/>
      <c r="CF32" s="499">
        <v>69.069999999999993</v>
      </c>
      <c r="CG32" s="319"/>
      <c r="CH32" s="499">
        <v>500</v>
      </c>
      <c r="CI32" s="319"/>
      <c r="CJ32" s="319"/>
      <c r="CK32" s="319"/>
      <c r="CL32" s="319"/>
      <c r="CM32" s="319"/>
      <c r="CN32" s="499">
        <v>785.66</v>
      </c>
      <c r="CO32" s="319"/>
      <c r="CP32" s="499">
        <v>3500</v>
      </c>
      <c r="CQ32" s="499">
        <v>3000</v>
      </c>
      <c r="CR32" s="499">
        <v>500</v>
      </c>
      <c r="CS32" s="499">
        <f t="shared" si="3"/>
        <v>3500</v>
      </c>
      <c r="CT32" s="352">
        <f t="shared" si="1"/>
        <v>771.56</v>
      </c>
      <c r="CU32" s="351">
        <f t="shared" si="2"/>
        <v>14.099999999999994</v>
      </c>
      <c r="CV32" s="351">
        <f t="shared" si="0"/>
        <v>785.66</v>
      </c>
    </row>
    <row r="33" spans="1:100" x14ac:dyDescent="0.25">
      <c r="A33" s="496"/>
      <c r="B33" s="496"/>
      <c r="C33" s="496"/>
      <c r="D33" s="496"/>
      <c r="E33" s="496" t="s">
        <v>216</v>
      </c>
      <c r="F33" s="496"/>
      <c r="G33" s="496"/>
      <c r="H33" s="499">
        <v>3.83</v>
      </c>
      <c r="I33" s="319"/>
      <c r="J33" s="499"/>
      <c r="K33" s="319"/>
      <c r="L33" s="499">
        <v>14.03</v>
      </c>
      <c r="M33" s="319"/>
      <c r="N33" s="499"/>
      <c r="O33" s="319"/>
      <c r="P33" s="499">
        <v>17.86</v>
      </c>
      <c r="Q33" s="319"/>
      <c r="R33" s="499"/>
      <c r="S33" s="319"/>
      <c r="T33" s="499">
        <v>40.840000000000003</v>
      </c>
      <c r="U33" s="319"/>
      <c r="V33" s="499"/>
      <c r="W33" s="319"/>
      <c r="X33" s="499">
        <v>0</v>
      </c>
      <c r="Y33" s="319"/>
      <c r="Z33" s="319"/>
      <c r="AA33" s="319"/>
      <c r="AB33" s="319">
        <v>0</v>
      </c>
      <c r="AC33" s="319"/>
      <c r="AD33" s="319"/>
      <c r="AE33" s="319"/>
      <c r="AF33" s="319">
        <v>0</v>
      </c>
      <c r="AG33" s="319"/>
      <c r="AH33" s="319"/>
      <c r="AI33" s="319"/>
      <c r="AJ33" s="499">
        <v>10.210000000000001</v>
      </c>
      <c r="AK33" s="319"/>
      <c r="AL33" s="499"/>
      <c r="AM33" s="319"/>
      <c r="AN33" s="499">
        <v>17.87</v>
      </c>
      <c r="AO33" s="319"/>
      <c r="AP33" s="499"/>
      <c r="AQ33" s="319"/>
      <c r="AR33" s="499">
        <v>28.08</v>
      </c>
      <c r="AS33" s="319"/>
      <c r="AT33" s="499"/>
      <c r="AU33" s="319"/>
      <c r="AV33" s="499">
        <v>0</v>
      </c>
      <c r="AW33" s="319"/>
      <c r="AX33" s="319"/>
      <c r="AY33" s="319"/>
      <c r="AZ33" s="499">
        <v>33.18</v>
      </c>
      <c r="BA33" s="319"/>
      <c r="BB33" s="499"/>
      <c r="BC33" s="319"/>
      <c r="BD33" s="499">
        <v>33.18</v>
      </c>
      <c r="BE33" s="319"/>
      <c r="BF33" s="499"/>
      <c r="BG33" s="319"/>
      <c r="BH33" s="499">
        <v>5.1100000000000003</v>
      </c>
      <c r="BI33" s="319"/>
      <c r="BJ33" s="499"/>
      <c r="BK33" s="319"/>
      <c r="BL33" s="499">
        <v>7.66</v>
      </c>
      <c r="BM33" s="319"/>
      <c r="BN33" s="499">
        <v>1000</v>
      </c>
      <c r="BO33" s="319"/>
      <c r="BP33" s="499">
        <v>45.95</v>
      </c>
      <c r="BQ33" s="319"/>
      <c r="BR33" s="499">
        <v>1000</v>
      </c>
      <c r="BS33" s="319"/>
      <c r="BT33" s="499">
        <v>0</v>
      </c>
      <c r="BU33" s="319"/>
      <c r="BV33" s="319"/>
      <c r="BW33" s="319"/>
      <c r="BX33" s="499">
        <v>53.61</v>
      </c>
      <c r="BY33" s="319"/>
      <c r="BZ33" s="499"/>
      <c r="CA33" s="319"/>
      <c r="CB33" s="499">
        <v>53.61</v>
      </c>
      <c r="CC33" s="319"/>
      <c r="CD33" s="499"/>
      <c r="CE33" s="319"/>
      <c r="CF33" s="499">
        <v>127.64</v>
      </c>
      <c r="CG33" s="319"/>
      <c r="CH33" s="499">
        <v>1000</v>
      </c>
      <c r="CI33" s="319"/>
      <c r="CJ33" s="319"/>
      <c r="CK33" s="319"/>
      <c r="CL33" s="319"/>
      <c r="CM33" s="319"/>
      <c r="CN33" s="499">
        <v>186.34</v>
      </c>
      <c r="CO33" s="319"/>
      <c r="CP33" s="499">
        <v>1000</v>
      </c>
      <c r="CQ33" s="499">
        <v>1000</v>
      </c>
      <c r="CR33" s="499"/>
      <c r="CS33" s="499">
        <f t="shared" si="3"/>
        <v>1000</v>
      </c>
      <c r="CT33" s="352">
        <f t="shared" si="1"/>
        <v>122.52000000000001</v>
      </c>
      <c r="CU33" s="351">
        <f t="shared" si="2"/>
        <v>63.819999999999993</v>
      </c>
      <c r="CV33" s="351">
        <f t="shared" si="0"/>
        <v>186.34</v>
      </c>
    </row>
    <row r="34" spans="1:100" x14ac:dyDescent="0.25">
      <c r="A34" s="496"/>
      <c r="B34" s="496"/>
      <c r="C34" s="496"/>
      <c r="D34" s="496"/>
      <c r="E34" s="496" t="s">
        <v>183</v>
      </c>
      <c r="F34" s="496"/>
      <c r="G34" s="496"/>
      <c r="H34" s="499">
        <v>239.36</v>
      </c>
      <c r="I34" s="319"/>
      <c r="J34" s="499">
        <v>20</v>
      </c>
      <c r="K34" s="319"/>
      <c r="L34" s="499">
        <v>229.16</v>
      </c>
      <c r="M34" s="319"/>
      <c r="N34" s="499">
        <v>72</v>
      </c>
      <c r="O34" s="319"/>
      <c r="P34" s="499">
        <v>468.52</v>
      </c>
      <c r="Q34" s="319"/>
      <c r="R34" s="499">
        <v>92</v>
      </c>
      <c r="S34" s="319"/>
      <c r="T34" s="499">
        <v>942.44</v>
      </c>
      <c r="U34" s="319"/>
      <c r="V34" s="499">
        <v>211</v>
      </c>
      <c r="W34" s="319"/>
      <c r="X34" s="499">
        <v>0</v>
      </c>
      <c r="Y34" s="319"/>
      <c r="Z34" s="319"/>
      <c r="AA34" s="319"/>
      <c r="AB34" s="319">
        <v>0</v>
      </c>
      <c r="AC34" s="319"/>
      <c r="AD34" s="319"/>
      <c r="AE34" s="319"/>
      <c r="AF34" s="319">
        <v>0</v>
      </c>
      <c r="AG34" s="319"/>
      <c r="AH34" s="319"/>
      <c r="AI34" s="319"/>
      <c r="AJ34" s="499">
        <v>158.72999999999999</v>
      </c>
      <c r="AK34" s="319"/>
      <c r="AL34" s="499">
        <v>53</v>
      </c>
      <c r="AM34" s="319"/>
      <c r="AN34" s="499">
        <v>258.93</v>
      </c>
      <c r="AO34" s="319"/>
      <c r="AP34" s="499">
        <v>10092</v>
      </c>
      <c r="AQ34" s="319"/>
      <c r="AR34" s="499">
        <v>417.66</v>
      </c>
      <c r="AS34" s="319"/>
      <c r="AT34" s="499">
        <v>10145</v>
      </c>
      <c r="AU34" s="319"/>
      <c r="AV34" s="499">
        <v>0</v>
      </c>
      <c r="AW34" s="319"/>
      <c r="AX34" s="319"/>
      <c r="AY34" s="319"/>
      <c r="AZ34" s="499">
        <v>275.27999999999997</v>
      </c>
      <c r="BA34" s="319"/>
      <c r="BB34" s="499">
        <v>171</v>
      </c>
      <c r="BC34" s="319"/>
      <c r="BD34" s="499">
        <v>275.27999999999997</v>
      </c>
      <c r="BE34" s="319"/>
      <c r="BF34" s="499">
        <v>171</v>
      </c>
      <c r="BG34" s="319"/>
      <c r="BH34" s="499">
        <v>19.920000000000002</v>
      </c>
      <c r="BI34" s="319"/>
      <c r="BJ34" s="499">
        <v>26</v>
      </c>
      <c r="BK34" s="319"/>
      <c r="BL34" s="499">
        <v>230.87</v>
      </c>
      <c r="BM34" s="319"/>
      <c r="BN34" s="499">
        <v>39</v>
      </c>
      <c r="BO34" s="319"/>
      <c r="BP34" s="499">
        <v>526.07000000000005</v>
      </c>
      <c r="BQ34" s="319"/>
      <c r="BR34" s="499">
        <v>236</v>
      </c>
      <c r="BS34" s="319"/>
      <c r="BT34" s="499">
        <v>0</v>
      </c>
      <c r="BU34" s="319"/>
      <c r="BV34" s="319"/>
      <c r="BW34" s="319"/>
      <c r="BX34" s="499">
        <v>370.53</v>
      </c>
      <c r="BY34" s="319"/>
      <c r="BZ34" s="499">
        <v>276</v>
      </c>
      <c r="CA34" s="319"/>
      <c r="CB34" s="499">
        <v>370.53</v>
      </c>
      <c r="CC34" s="319"/>
      <c r="CD34" s="499">
        <v>276</v>
      </c>
      <c r="CE34" s="319"/>
      <c r="CF34" s="499">
        <v>1314.26</v>
      </c>
      <c r="CG34" s="319"/>
      <c r="CH34" s="499">
        <v>10657</v>
      </c>
      <c r="CI34" s="319"/>
      <c r="CJ34" s="319"/>
      <c r="CK34" s="319"/>
      <c r="CL34" s="319"/>
      <c r="CM34" s="319"/>
      <c r="CN34" s="499">
        <v>2725.22</v>
      </c>
      <c r="CO34" s="319"/>
      <c r="CP34" s="499">
        <v>10960</v>
      </c>
      <c r="CQ34" s="499">
        <v>342</v>
      </c>
      <c r="CR34" s="499">
        <v>10618</v>
      </c>
      <c r="CS34" s="499">
        <f t="shared" si="3"/>
        <v>10960</v>
      </c>
      <c r="CT34" s="352">
        <f t="shared" si="1"/>
        <v>2195.96</v>
      </c>
      <c r="CU34" s="351">
        <f t="shared" si="2"/>
        <v>529.25999999999976</v>
      </c>
      <c r="CV34" s="351">
        <f t="shared" si="0"/>
        <v>2725.22</v>
      </c>
    </row>
    <row r="35" spans="1:100" x14ac:dyDescent="0.25">
      <c r="A35" s="496"/>
      <c r="B35" s="496"/>
      <c r="C35" s="496"/>
      <c r="D35" s="496"/>
      <c r="E35" s="496" t="s">
        <v>184</v>
      </c>
      <c r="F35" s="496"/>
      <c r="G35" s="496"/>
      <c r="H35" s="499">
        <v>34.020000000000003</v>
      </c>
      <c r="I35" s="319"/>
      <c r="J35" s="499">
        <v>77</v>
      </c>
      <c r="K35" s="319"/>
      <c r="L35" s="499">
        <v>124.73</v>
      </c>
      <c r="M35" s="319"/>
      <c r="N35" s="499">
        <v>2263</v>
      </c>
      <c r="O35" s="319"/>
      <c r="P35" s="499">
        <v>158.75</v>
      </c>
      <c r="Q35" s="319"/>
      <c r="R35" s="499">
        <v>2340</v>
      </c>
      <c r="S35" s="319"/>
      <c r="T35" s="499">
        <v>362.83</v>
      </c>
      <c r="U35" s="319"/>
      <c r="V35" s="499">
        <v>1904</v>
      </c>
      <c r="W35" s="319"/>
      <c r="X35" s="499">
        <v>0</v>
      </c>
      <c r="Y35" s="319"/>
      <c r="Z35" s="319"/>
      <c r="AA35" s="319"/>
      <c r="AB35" s="319">
        <v>0</v>
      </c>
      <c r="AC35" s="319"/>
      <c r="AD35" s="319"/>
      <c r="AE35" s="319"/>
      <c r="AF35" s="319">
        <v>0</v>
      </c>
      <c r="AG35" s="319"/>
      <c r="AH35" s="319"/>
      <c r="AI35" s="319"/>
      <c r="AJ35" s="499">
        <v>90.71</v>
      </c>
      <c r="AK35" s="319"/>
      <c r="AL35" s="499">
        <v>206</v>
      </c>
      <c r="AM35" s="319"/>
      <c r="AN35" s="499">
        <v>158.74</v>
      </c>
      <c r="AO35" s="319"/>
      <c r="AP35" s="499">
        <v>361</v>
      </c>
      <c r="AQ35" s="319"/>
      <c r="AR35" s="499">
        <v>249.45</v>
      </c>
      <c r="AS35" s="319"/>
      <c r="AT35" s="499">
        <v>567</v>
      </c>
      <c r="AU35" s="319"/>
      <c r="AV35" s="499">
        <v>0</v>
      </c>
      <c r="AW35" s="319"/>
      <c r="AX35" s="319"/>
      <c r="AY35" s="319"/>
      <c r="AZ35" s="499">
        <v>294.8</v>
      </c>
      <c r="BA35" s="319"/>
      <c r="BB35" s="499">
        <v>670</v>
      </c>
      <c r="BC35" s="319"/>
      <c r="BD35" s="499">
        <v>294.8</v>
      </c>
      <c r="BE35" s="319"/>
      <c r="BF35" s="499">
        <v>670</v>
      </c>
      <c r="BG35" s="319"/>
      <c r="BH35" s="499">
        <v>45.36</v>
      </c>
      <c r="BI35" s="319"/>
      <c r="BJ35" s="499">
        <v>103</v>
      </c>
      <c r="BK35" s="319"/>
      <c r="BL35" s="499">
        <v>68.03</v>
      </c>
      <c r="BM35" s="319"/>
      <c r="BN35" s="499">
        <v>155</v>
      </c>
      <c r="BO35" s="319"/>
      <c r="BP35" s="499">
        <v>408.19</v>
      </c>
      <c r="BQ35" s="319"/>
      <c r="BR35" s="499">
        <v>928</v>
      </c>
      <c r="BS35" s="319"/>
      <c r="BT35" s="499">
        <v>0</v>
      </c>
      <c r="BU35" s="319"/>
      <c r="BV35" s="319"/>
      <c r="BW35" s="319"/>
      <c r="BX35" s="499">
        <v>584.1</v>
      </c>
      <c r="BY35" s="319"/>
      <c r="BZ35" s="499">
        <v>7022</v>
      </c>
      <c r="CA35" s="319"/>
      <c r="CB35" s="499">
        <v>584.1</v>
      </c>
      <c r="CC35" s="319"/>
      <c r="CD35" s="499">
        <v>7022</v>
      </c>
      <c r="CE35" s="319"/>
      <c r="CF35" s="499">
        <v>1241.74</v>
      </c>
      <c r="CG35" s="319"/>
      <c r="CH35" s="499">
        <v>8517</v>
      </c>
      <c r="CI35" s="319"/>
      <c r="CJ35" s="319"/>
      <c r="CK35" s="319"/>
      <c r="CL35" s="319"/>
      <c r="CM35" s="319"/>
      <c r="CN35" s="499">
        <v>1763.32</v>
      </c>
      <c r="CO35" s="319"/>
      <c r="CP35" s="499">
        <v>12761</v>
      </c>
      <c r="CQ35" s="499">
        <v>4399</v>
      </c>
      <c r="CR35" s="499">
        <v>8362</v>
      </c>
      <c r="CS35" s="499">
        <f t="shared" si="3"/>
        <v>12761</v>
      </c>
      <c r="CT35" s="352">
        <f t="shared" si="1"/>
        <v>1088.51</v>
      </c>
      <c r="CU35" s="351">
        <f t="shared" si="2"/>
        <v>674.81000000000017</v>
      </c>
      <c r="CV35" s="351">
        <f t="shared" si="0"/>
        <v>1763.3200000000002</v>
      </c>
    </row>
    <row r="36" spans="1:100" x14ac:dyDescent="0.25">
      <c r="A36" s="496"/>
      <c r="B36" s="496"/>
      <c r="C36" s="496"/>
      <c r="D36" s="496"/>
      <c r="E36" s="496" t="s">
        <v>185</v>
      </c>
      <c r="F36" s="496"/>
      <c r="G36" s="496"/>
      <c r="H36" s="499">
        <v>3.94</v>
      </c>
      <c r="I36" s="319"/>
      <c r="J36" s="499">
        <v>9</v>
      </c>
      <c r="K36" s="319"/>
      <c r="L36" s="499">
        <v>19.96</v>
      </c>
      <c r="M36" s="319"/>
      <c r="N36" s="499">
        <v>33</v>
      </c>
      <c r="O36" s="319"/>
      <c r="P36" s="499">
        <v>23.9</v>
      </c>
      <c r="Q36" s="319"/>
      <c r="R36" s="499">
        <v>42</v>
      </c>
      <c r="S36" s="319"/>
      <c r="T36" s="499">
        <v>306.87</v>
      </c>
      <c r="U36" s="319"/>
      <c r="V36" s="499">
        <v>2595</v>
      </c>
      <c r="W36" s="319"/>
      <c r="X36" s="499">
        <v>0</v>
      </c>
      <c r="Y36" s="319"/>
      <c r="Z36" s="319"/>
      <c r="AA36" s="319"/>
      <c r="AB36" s="319">
        <v>0</v>
      </c>
      <c r="AC36" s="319"/>
      <c r="AD36" s="319"/>
      <c r="AE36" s="319"/>
      <c r="AF36" s="319">
        <v>0</v>
      </c>
      <c r="AG36" s="319"/>
      <c r="AH36" s="319"/>
      <c r="AI36" s="319"/>
      <c r="AJ36" s="499">
        <v>10.52</v>
      </c>
      <c r="AK36" s="319"/>
      <c r="AL36" s="499">
        <v>24</v>
      </c>
      <c r="AM36" s="319"/>
      <c r="AN36" s="499">
        <v>18.420000000000002</v>
      </c>
      <c r="AO36" s="319"/>
      <c r="AP36" s="499">
        <v>41</v>
      </c>
      <c r="AQ36" s="319"/>
      <c r="AR36" s="499">
        <v>28.94</v>
      </c>
      <c r="AS36" s="319"/>
      <c r="AT36" s="499">
        <v>65</v>
      </c>
      <c r="AU36" s="319"/>
      <c r="AV36" s="499">
        <v>0</v>
      </c>
      <c r="AW36" s="319"/>
      <c r="AX36" s="319"/>
      <c r="AY36" s="319"/>
      <c r="AZ36" s="499">
        <v>34.22</v>
      </c>
      <c r="BA36" s="319"/>
      <c r="BB36" s="499">
        <v>10377</v>
      </c>
      <c r="BC36" s="319"/>
      <c r="BD36" s="499">
        <v>34.22</v>
      </c>
      <c r="BE36" s="319"/>
      <c r="BF36" s="499">
        <v>10377</v>
      </c>
      <c r="BG36" s="319"/>
      <c r="BH36" s="499">
        <v>5.26</v>
      </c>
      <c r="BI36" s="319"/>
      <c r="BJ36" s="499">
        <v>12</v>
      </c>
      <c r="BK36" s="319"/>
      <c r="BL36" s="499">
        <v>7.9</v>
      </c>
      <c r="BM36" s="319"/>
      <c r="BN36" s="499">
        <v>18</v>
      </c>
      <c r="BO36" s="319"/>
      <c r="BP36" s="499">
        <v>47.38</v>
      </c>
      <c r="BQ36" s="319"/>
      <c r="BR36" s="499">
        <v>10407</v>
      </c>
      <c r="BS36" s="319"/>
      <c r="BT36" s="499">
        <v>0</v>
      </c>
      <c r="BU36" s="319"/>
      <c r="BV36" s="319"/>
      <c r="BW36" s="319"/>
      <c r="BX36" s="499">
        <v>197.8</v>
      </c>
      <c r="BY36" s="319"/>
      <c r="BZ36" s="499">
        <v>124</v>
      </c>
      <c r="CA36" s="319"/>
      <c r="CB36" s="499">
        <v>197.8</v>
      </c>
      <c r="CC36" s="319"/>
      <c r="CD36" s="499">
        <v>124</v>
      </c>
      <c r="CE36" s="319"/>
      <c r="CF36" s="499">
        <v>274.12</v>
      </c>
      <c r="CG36" s="319"/>
      <c r="CH36" s="499">
        <v>10596</v>
      </c>
      <c r="CI36" s="319"/>
      <c r="CJ36" s="319"/>
      <c r="CK36" s="319"/>
      <c r="CL36" s="319"/>
      <c r="CM36" s="319"/>
      <c r="CN36" s="499">
        <v>604.89</v>
      </c>
      <c r="CO36" s="319"/>
      <c r="CP36" s="499">
        <v>13233</v>
      </c>
      <c r="CQ36" s="499">
        <v>2655</v>
      </c>
      <c r="CR36" s="499">
        <v>10578</v>
      </c>
      <c r="CS36" s="499">
        <f t="shared" si="3"/>
        <v>13233</v>
      </c>
      <c r="CT36" s="352">
        <f t="shared" si="1"/>
        <v>396.57</v>
      </c>
      <c r="CU36" s="351">
        <f t="shared" si="2"/>
        <v>208.32000000000005</v>
      </c>
      <c r="CV36" s="351">
        <f t="shared" si="0"/>
        <v>604.8900000000001</v>
      </c>
    </row>
    <row r="37" spans="1:100" x14ac:dyDescent="0.25">
      <c r="A37" s="496"/>
      <c r="B37" s="496"/>
      <c r="C37" s="496"/>
      <c r="D37" s="496"/>
      <c r="E37" s="496" t="s">
        <v>186</v>
      </c>
      <c r="F37" s="496"/>
      <c r="G37" s="496"/>
      <c r="H37" s="499">
        <v>138.13</v>
      </c>
      <c r="I37" s="319"/>
      <c r="J37" s="499">
        <v>326</v>
      </c>
      <c r="K37" s="319"/>
      <c r="L37" s="499">
        <v>845.66</v>
      </c>
      <c r="M37" s="319"/>
      <c r="N37" s="499">
        <v>2011</v>
      </c>
      <c r="O37" s="319"/>
      <c r="P37" s="499">
        <v>983.79</v>
      </c>
      <c r="Q37" s="319"/>
      <c r="R37" s="499">
        <v>2337</v>
      </c>
      <c r="S37" s="319"/>
      <c r="T37" s="499">
        <v>1313.17</v>
      </c>
      <c r="U37" s="319"/>
      <c r="V37" s="499">
        <v>2870</v>
      </c>
      <c r="W37" s="319"/>
      <c r="X37" s="499">
        <v>0</v>
      </c>
      <c r="Y37" s="319"/>
      <c r="Z37" s="319"/>
      <c r="AA37" s="319"/>
      <c r="AB37" s="319">
        <v>0</v>
      </c>
      <c r="AC37" s="319"/>
      <c r="AD37" s="319"/>
      <c r="AE37" s="319"/>
      <c r="AF37" s="319">
        <v>0</v>
      </c>
      <c r="AG37" s="319"/>
      <c r="AH37" s="319"/>
      <c r="AI37" s="319"/>
      <c r="AJ37" s="499">
        <v>345.27</v>
      </c>
      <c r="AK37" s="319"/>
      <c r="AL37" s="499">
        <v>815</v>
      </c>
      <c r="AM37" s="319"/>
      <c r="AN37" s="499">
        <v>621.51</v>
      </c>
      <c r="AO37" s="319"/>
      <c r="AP37" s="499">
        <v>1468</v>
      </c>
      <c r="AQ37" s="319"/>
      <c r="AR37" s="499">
        <v>966.78</v>
      </c>
      <c r="AS37" s="319"/>
      <c r="AT37" s="499">
        <v>2283</v>
      </c>
      <c r="AU37" s="319"/>
      <c r="AV37" s="499">
        <v>0</v>
      </c>
      <c r="AW37" s="319"/>
      <c r="AX37" s="319"/>
      <c r="AY37" s="319"/>
      <c r="AZ37" s="499">
        <v>968.28</v>
      </c>
      <c r="BA37" s="319"/>
      <c r="BB37" s="499">
        <v>2345</v>
      </c>
      <c r="BC37" s="319"/>
      <c r="BD37" s="499">
        <v>968.28</v>
      </c>
      <c r="BE37" s="319"/>
      <c r="BF37" s="499">
        <v>2345</v>
      </c>
      <c r="BG37" s="319"/>
      <c r="BH37" s="499">
        <v>80.95</v>
      </c>
      <c r="BI37" s="319"/>
      <c r="BJ37" s="499">
        <v>274</v>
      </c>
      <c r="BK37" s="319"/>
      <c r="BL37" s="499">
        <v>257.20999999999998</v>
      </c>
      <c r="BM37" s="319"/>
      <c r="BN37" s="499">
        <v>607</v>
      </c>
      <c r="BO37" s="319"/>
      <c r="BP37" s="499">
        <v>1306.44</v>
      </c>
      <c r="BQ37" s="319"/>
      <c r="BR37" s="499">
        <v>3226</v>
      </c>
      <c r="BS37" s="319"/>
      <c r="BT37" s="499">
        <v>0</v>
      </c>
      <c r="BU37" s="319"/>
      <c r="BV37" s="319"/>
      <c r="BW37" s="319"/>
      <c r="BX37" s="499">
        <v>1590.13</v>
      </c>
      <c r="BY37" s="319"/>
      <c r="BZ37" s="499">
        <v>3918</v>
      </c>
      <c r="CA37" s="319"/>
      <c r="CB37" s="499">
        <v>1590.13</v>
      </c>
      <c r="CC37" s="319"/>
      <c r="CD37" s="499">
        <v>3918</v>
      </c>
      <c r="CE37" s="319"/>
      <c r="CF37" s="499">
        <v>3863.35</v>
      </c>
      <c r="CG37" s="319"/>
      <c r="CH37" s="499">
        <v>9427</v>
      </c>
      <c r="CI37" s="319"/>
      <c r="CJ37" s="319"/>
      <c r="CK37" s="319"/>
      <c r="CL37" s="319"/>
      <c r="CM37" s="319"/>
      <c r="CN37" s="499">
        <v>6160.31</v>
      </c>
      <c r="CO37" s="319"/>
      <c r="CP37" s="499">
        <v>14634</v>
      </c>
      <c r="CQ37" s="499">
        <v>5814</v>
      </c>
      <c r="CR37" s="499">
        <v>8820</v>
      </c>
      <c r="CS37" s="499">
        <f t="shared" si="3"/>
        <v>14634</v>
      </c>
      <c r="CT37" s="352">
        <f t="shared" si="1"/>
        <v>4224.9100000000008</v>
      </c>
      <c r="CU37" s="351">
        <f t="shared" si="2"/>
        <v>1935.3999999999999</v>
      </c>
      <c r="CV37" s="351">
        <f t="shared" si="0"/>
        <v>6160.31</v>
      </c>
    </row>
    <row r="38" spans="1:100" x14ac:dyDescent="0.25">
      <c r="A38" s="496"/>
      <c r="B38" s="496"/>
      <c r="C38" s="496"/>
      <c r="D38" s="496"/>
      <c r="E38" s="496" t="s">
        <v>187</v>
      </c>
      <c r="F38" s="496"/>
      <c r="G38" s="496"/>
      <c r="H38" s="499">
        <v>22.45</v>
      </c>
      <c r="I38" s="319"/>
      <c r="J38" s="499">
        <v>54</v>
      </c>
      <c r="K38" s="319"/>
      <c r="L38" s="499">
        <v>82.23</v>
      </c>
      <c r="M38" s="319"/>
      <c r="N38" s="499">
        <v>200</v>
      </c>
      <c r="O38" s="319"/>
      <c r="P38" s="499">
        <v>104.68</v>
      </c>
      <c r="Q38" s="319"/>
      <c r="R38" s="499">
        <v>254</v>
      </c>
      <c r="S38" s="319"/>
      <c r="T38" s="499">
        <v>239.25</v>
      </c>
      <c r="U38" s="319"/>
      <c r="V38" s="499">
        <v>581</v>
      </c>
      <c r="W38" s="319"/>
      <c r="X38" s="499">
        <v>0</v>
      </c>
      <c r="Y38" s="319"/>
      <c r="Z38" s="319"/>
      <c r="AA38" s="319"/>
      <c r="AB38" s="319">
        <v>0</v>
      </c>
      <c r="AC38" s="319"/>
      <c r="AD38" s="319"/>
      <c r="AE38" s="319"/>
      <c r="AF38" s="319">
        <v>0</v>
      </c>
      <c r="AG38" s="319"/>
      <c r="AH38" s="319"/>
      <c r="AI38" s="319"/>
      <c r="AJ38" s="499">
        <v>59.8</v>
      </c>
      <c r="AK38" s="319"/>
      <c r="AL38" s="499">
        <v>145</v>
      </c>
      <c r="AM38" s="319"/>
      <c r="AN38" s="499">
        <v>104.66</v>
      </c>
      <c r="AO38" s="319"/>
      <c r="AP38" s="499">
        <v>254</v>
      </c>
      <c r="AQ38" s="319"/>
      <c r="AR38" s="499">
        <v>164.46</v>
      </c>
      <c r="AS38" s="319"/>
      <c r="AT38" s="499">
        <v>399</v>
      </c>
      <c r="AU38" s="319"/>
      <c r="AV38" s="499">
        <v>0</v>
      </c>
      <c r="AW38" s="319"/>
      <c r="AX38" s="319"/>
      <c r="AY38" s="319"/>
      <c r="AZ38" s="499">
        <v>224.36</v>
      </c>
      <c r="BA38" s="319"/>
      <c r="BB38" s="499">
        <v>472</v>
      </c>
      <c r="BC38" s="319"/>
      <c r="BD38" s="499">
        <v>224.36</v>
      </c>
      <c r="BE38" s="319"/>
      <c r="BF38" s="499">
        <v>472</v>
      </c>
      <c r="BG38" s="319"/>
      <c r="BH38" s="499">
        <v>59.9</v>
      </c>
      <c r="BI38" s="319"/>
      <c r="BJ38" s="499">
        <v>73</v>
      </c>
      <c r="BK38" s="319"/>
      <c r="BL38" s="499">
        <v>44.85</v>
      </c>
      <c r="BM38" s="319"/>
      <c r="BN38" s="499">
        <v>109</v>
      </c>
      <c r="BO38" s="319"/>
      <c r="BP38" s="499">
        <v>329.11</v>
      </c>
      <c r="BQ38" s="319"/>
      <c r="BR38" s="499">
        <v>654</v>
      </c>
      <c r="BS38" s="319"/>
      <c r="BT38" s="499">
        <v>0</v>
      </c>
      <c r="BU38" s="319"/>
      <c r="BV38" s="319"/>
      <c r="BW38" s="319"/>
      <c r="BX38" s="499">
        <v>374</v>
      </c>
      <c r="BY38" s="319"/>
      <c r="BZ38" s="499">
        <v>762</v>
      </c>
      <c r="CA38" s="319"/>
      <c r="CB38" s="499">
        <v>374</v>
      </c>
      <c r="CC38" s="319"/>
      <c r="CD38" s="499">
        <v>762</v>
      </c>
      <c r="CE38" s="319"/>
      <c r="CF38" s="499">
        <v>867.57</v>
      </c>
      <c r="CG38" s="319"/>
      <c r="CH38" s="499">
        <v>1815</v>
      </c>
      <c r="CI38" s="319"/>
      <c r="CJ38" s="319"/>
      <c r="CK38" s="319"/>
      <c r="CL38" s="319"/>
      <c r="CM38" s="319"/>
      <c r="CN38" s="499">
        <v>1211.5</v>
      </c>
      <c r="CO38" s="319"/>
      <c r="CP38" s="499">
        <v>2650</v>
      </c>
      <c r="CQ38" s="499">
        <v>944</v>
      </c>
      <c r="CR38" s="499">
        <v>1706</v>
      </c>
      <c r="CS38" s="499">
        <f t="shared" si="3"/>
        <v>2650</v>
      </c>
      <c r="CT38" s="352">
        <f t="shared" si="1"/>
        <v>777.69999999999993</v>
      </c>
      <c r="CU38" s="351">
        <f t="shared" si="2"/>
        <v>433.80000000000007</v>
      </c>
      <c r="CV38" s="351">
        <f t="shared" si="0"/>
        <v>1211.5</v>
      </c>
    </row>
    <row r="39" spans="1:100" x14ac:dyDescent="0.25">
      <c r="A39" s="496"/>
      <c r="B39" s="496"/>
      <c r="C39" s="496"/>
      <c r="D39" s="496"/>
      <c r="E39" s="496" t="s">
        <v>217</v>
      </c>
      <c r="F39" s="496"/>
      <c r="G39" s="496"/>
      <c r="H39" s="499">
        <v>6.83</v>
      </c>
      <c r="I39" s="319"/>
      <c r="J39" s="499">
        <v>16</v>
      </c>
      <c r="K39" s="319"/>
      <c r="L39" s="499">
        <v>38.659999999999997</v>
      </c>
      <c r="M39" s="319"/>
      <c r="N39" s="499">
        <v>58</v>
      </c>
      <c r="O39" s="319"/>
      <c r="P39" s="499">
        <v>45.49</v>
      </c>
      <c r="Q39" s="319"/>
      <c r="R39" s="499">
        <v>74</v>
      </c>
      <c r="S39" s="319"/>
      <c r="T39" s="499">
        <v>72.88</v>
      </c>
      <c r="U39" s="319"/>
      <c r="V39" s="499">
        <v>3768</v>
      </c>
      <c r="W39" s="319"/>
      <c r="X39" s="499">
        <v>0</v>
      </c>
      <c r="Y39" s="319"/>
      <c r="Z39" s="319"/>
      <c r="AA39" s="319"/>
      <c r="AB39" s="319">
        <v>0</v>
      </c>
      <c r="AC39" s="319"/>
      <c r="AD39" s="319"/>
      <c r="AE39" s="319"/>
      <c r="AF39" s="319">
        <v>0</v>
      </c>
      <c r="AG39" s="319"/>
      <c r="AH39" s="319"/>
      <c r="AI39" s="319"/>
      <c r="AJ39" s="499">
        <v>18.22</v>
      </c>
      <c r="AK39" s="319"/>
      <c r="AL39" s="499">
        <v>42</v>
      </c>
      <c r="AM39" s="319"/>
      <c r="AN39" s="499">
        <v>31.89</v>
      </c>
      <c r="AO39" s="319"/>
      <c r="AP39" s="499">
        <v>74</v>
      </c>
      <c r="AQ39" s="319"/>
      <c r="AR39" s="499">
        <v>50.11</v>
      </c>
      <c r="AS39" s="319"/>
      <c r="AT39" s="499">
        <v>116</v>
      </c>
      <c r="AU39" s="319"/>
      <c r="AV39" s="499">
        <v>0</v>
      </c>
      <c r="AW39" s="319"/>
      <c r="AX39" s="319"/>
      <c r="AY39" s="319"/>
      <c r="AZ39" s="499">
        <v>59.21</v>
      </c>
      <c r="BA39" s="319"/>
      <c r="BB39" s="499">
        <v>19437</v>
      </c>
      <c r="BC39" s="319"/>
      <c r="BD39" s="499">
        <v>59.21</v>
      </c>
      <c r="BE39" s="319"/>
      <c r="BF39" s="499">
        <v>19437</v>
      </c>
      <c r="BG39" s="319"/>
      <c r="BH39" s="499">
        <v>9.11</v>
      </c>
      <c r="BI39" s="319"/>
      <c r="BJ39" s="499">
        <v>21</v>
      </c>
      <c r="BK39" s="319"/>
      <c r="BL39" s="499">
        <v>13.67</v>
      </c>
      <c r="BM39" s="319"/>
      <c r="BN39" s="499">
        <v>32</v>
      </c>
      <c r="BO39" s="319"/>
      <c r="BP39" s="499">
        <v>81.99</v>
      </c>
      <c r="BQ39" s="319"/>
      <c r="BR39" s="499">
        <v>19490</v>
      </c>
      <c r="BS39" s="319"/>
      <c r="BT39" s="499">
        <v>0</v>
      </c>
      <c r="BU39" s="319"/>
      <c r="BV39" s="319"/>
      <c r="BW39" s="319"/>
      <c r="BX39" s="499">
        <v>161.88999999999999</v>
      </c>
      <c r="BY39" s="319"/>
      <c r="BZ39" s="499">
        <v>221</v>
      </c>
      <c r="CA39" s="319"/>
      <c r="CB39" s="499">
        <v>161.88999999999999</v>
      </c>
      <c r="CC39" s="319"/>
      <c r="CD39" s="499">
        <v>221</v>
      </c>
      <c r="CE39" s="319"/>
      <c r="CF39" s="499">
        <v>293.99</v>
      </c>
      <c r="CG39" s="319"/>
      <c r="CH39" s="499">
        <v>19827</v>
      </c>
      <c r="CI39" s="319"/>
      <c r="CJ39" s="319"/>
      <c r="CK39" s="319"/>
      <c r="CL39" s="319"/>
      <c r="CM39" s="319"/>
      <c r="CN39" s="499">
        <v>412.36</v>
      </c>
      <c r="CO39" s="319"/>
      <c r="CP39" s="499">
        <v>23669</v>
      </c>
      <c r="CQ39" s="499">
        <v>3874</v>
      </c>
      <c r="CR39" s="499">
        <v>19795</v>
      </c>
      <c r="CS39" s="499">
        <f t="shared" si="3"/>
        <v>23669</v>
      </c>
      <c r="CT39" s="352">
        <f t="shared" si="1"/>
        <v>232.25</v>
      </c>
      <c r="CU39" s="351">
        <f t="shared" si="2"/>
        <v>180.10999999999996</v>
      </c>
      <c r="CV39" s="351">
        <f t="shared" si="0"/>
        <v>412.35999999999996</v>
      </c>
    </row>
    <row r="40" spans="1:100" x14ac:dyDescent="0.25">
      <c r="A40" s="496"/>
      <c r="B40" s="496"/>
      <c r="C40" s="496"/>
      <c r="D40" s="496"/>
      <c r="E40" s="496" t="s">
        <v>218</v>
      </c>
      <c r="F40" s="496"/>
      <c r="G40" s="496"/>
      <c r="H40" s="499">
        <v>5090.3500000000004</v>
      </c>
      <c r="I40" s="319"/>
      <c r="J40" s="499">
        <v>15005</v>
      </c>
      <c r="K40" s="319"/>
      <c r="L40" s="499">
        <v>290.51</v>
      </c>
      <c r="M40" s="319"/>
      <c r="N40" s="499">
        <v>43</v>
      </c>
      <c r="O40" s="319"/>
      <c r="P40" s="499">
        <v>5380.86</v>
      </c>
      <c r="Q40" s="319"/>
      <c r="R40" s="499">
        <v>15048</v>
      </c>
      <c r="S40" s="319"/>
      <c r="T40" s="499">
        <v>1162.6199999999999</v>
      </c>
      <c r="U40" s="319"/>
      <c r="V40" s="499">
        <v>553</v>
      </c>
      <c r="W40" s="319"/>
      <c r="X40" s="499">
        <v>0</v>
      </c>
      <c r="Y40" s="319"/>
      <c r="Z40" s="319"/>
      <c r="AA40" s="319"/>
      <c r="AB40" s="319">
        <v>0</v>
      </c>
      <c r="AC40" s="319"/>
      <c r="AD40" s="319"/>
      <c r="AE40" s="319"/>
      <c r="AF40" s="319">
        <v>0</v>
      </c>
      <c r="AG40" s="319"/>
      <c r="AH40" s="319"/>
      <c r="AI40" s="319"/>
      <c r="AJ40" s="499">
        <v>328.97</v>
      </c>
      <c r="AK40" s="319"/>
      <c r="AL40" s="499">
        <v>13</v>
      </c>
      <c r="AM40" s="319"/>
      <c r="AN40" s="499">
        <v>922.56</v>
      </c>
      <c r="AO40" s="319"/>
      <c r="AP40" s="499">
        <v>18023</v>
      </c>
      <c r="AQ40" s="319"/>
      <c r="AR40" s="499">
        <v>1251.53</v>
      </c>
      <c r="AS40" s="319"/>
      <c r="AT40" s="499">
        <v>18036</v>
      </c>
      <c r="AU40" s="319"/>
      <c r="AV40" s="499">
        <v>0</v>
      </c>
      <c r="AW40" s="319"/>
      <c r="AX40" s="319"/>
      <c r="AY40" s="319"/>
      <c r="AZ40" s="499">
        <v>1.44</v>
      </c>
      <c r="BA40" s="319"/>
      <c r="BB40" s="499">
        <v>543</v>
      </c>
      <c r="BC40" s="319"/>
      <c r="BD40" s="499">
        <v>1.44</v>
      </c>
      <c r="BE40" s="319"/>
      <c r="BF40" s="499">
        <v>543</v>
      </c>
      <c r="BG40" s="319"/>
      <c r="BH40" s="499">
        <v>0</v>
      </c>
      <c r="BI40" s="319"/>
      <c r="BJ40" s="499">
        <v>7</v>
      </c>
      <c r="BK40" s="319"/>
      <c r="BL40" s="499">
        <v>1.55</v>
      </c>
      <c r="BM40" s="319"/>
      <c r="BN40" s="499">
        <v>510</v>
      </c>
      <c r="BO40" s="319"/>
      <c r="BP40" s="499">
        <v>2.99</v>
      </c>
      <c r="BQ40" s="319"/>
      <c r="BR40" s="499">
        <v>1060</v>
      </c>
      <c r="BS40" s="319"/>
      <c r="BT40" s="499">
        <v>0</v>
      </c>
      <c r="BU40" s="319"/>
      <c r="BV40" s="319"/>
      <c r="BW40" s="319"/>
      <c r="BX40" s="499">
        <v>1451</v>
      </c>
      <c r="BY40" s="319"/>
      <c r="BZ40" s="499">
        <v>1569</v>
      </c>
      <c r="CA40" s="319"/>
      <c r="CB40" s="499">
        <v>1451</v>
      </c>
      <c r="CC40" s="319"/>
      <c r="CD40" s="499">
        <v>1569</v>
      </c>
      <c r="CE40" s="319"/>
      <c r="CF40" s="499">
        <v>2705.52</v>
      </c>
      <c r="CG40" s="319"/>
      <c r="CH40" s="499">
        <v>20665</v>
      </c>
      <c r="CI40" s="319"/>
      <c r="CJ40" s="319"/>
      <c r="CK40" s="319"/>
      <c r="CL40" s="319"/>
      <c r="CM40" s="319"/>
      <c r="CN40" s="499">
        <v>9249</v>
      </c>
      <c r="CO40" s="319"/>
      <c r="CP40" s="499">
        <v>36266</v>
      </c>
      <c r="CQ40" s="499">
        <v>16111</v>
      </c>
      <c r="CR40" s="499">
        <v>20155</v>
      </c>
      <c r="CS40" s="499">
        <f t="shared" si="3"/>
        <v>36266</v>
      </c>
      <c r="CT40" s="352">
        <f t="shared" si="1"/>
        <v>7469.0299999999988</v>
      </c>
      <c r="CU40" s="351">
        <f t="shared" si="2"/>
        <v>1779.9699999999998</v>
      </c>
      <c r="CV40" s="351">
        <f t="shared" si="0"/>
        <v>9248.9999999999982</v>
      </c>
    </row>
    <row r="41" spans="1:100" x14ac:dyDescent="0.25">
      <c r="A41" s="496"/>
      <c r="B41" s="496"/>
      <c r="C41" s="496"/>
      <c r="D41" s="496"/>
      <c r="E41" s="496" t="s">
        <v>192</v>
      </c>
      <c r="F41" s="496"/>
      <c r="G41" s="496"/>
      <c r="H41" s="499">
        <v>741.7</v>
      </c>
      <c r="I41" s="319"/>
      <c r="J41" s="499">
        <v>1683</v>
      </c>
      <c r="K41" s="319"/>
      <c r="L41" s="499">
        <v>86.2</v>
      </c>
      <c r="M41" s="319"/>
      <c r="N41" s="499">
        <v>200</v>
      </c>
      <c r="O41" s="319"/>
      <c r="P41" s="499">
        <v>827.9</v>
      </c>
      <c r="Q41" s="319"/>
      <c r="R41" s="499">
        <v>1883</v>
      </c>
      <c r="S41" s="319"/>
      <c r="T41" s="499">
        <v>86.2</v>
      </c>
      <c r="U41" s="319"/>
      <c r="V41" s="499">
        <v>252</v>
      </c>
      <c r="W41" s="319"/>
      <c r="X41" s="499">
        <v>0</v>
      </c>
      <c r="Y41" s="319"/>
      <c r="Z41" s="319"/>
      <c r="AA41" s="319"/>
      <c r="AB41" s="319">
        <v>0</v>
      </c>
      <c r="AC41" s="319"/>
      <c r="AD41" s="319"/>
      <c r="AE41" s="319"/>
      <c r="AF41" s="319">
        <v>0</v>
      </c>
      <c r="AG41" s="319"/>
      <c r="AH41" s="319"/>
      <c r="AI41" s="319"/>
      <c r="AJ41" s="499">
        <v>0</v>
      </c>
      <c r="AK41" s="319"/>
      <c r="AL41" s="499">
        <v>17</v>
      </c>
      <c r="AM41" s="319"/>
      <c r="AN41" s="499">
        <v>81.45</v>
      </c>
      <c r="AO41" s="319"/>
      <c r="AP41" s="499">
        <v>205</v>
      </c>
      <c r="AQ41" s="319"/>
      <c r="AR41" s="499">
        <v>81.45</v>
      </c>
      <c r="AS41" s="319"/>
      <c r="AT41" s="499">
        <v>222</v>
      </c>
      <c r="AU41" s="319"/>
      <c r="AV41" s="499">
        <v>0</v>
      </c>
      <c r="AW41" s="319"/>
      <c r="AX41" s="319"/>
      <c r="AY41" s="319"/>
      <c r="AZ41" s="499">
        <v>924.35</v>
      </c>
      <c r="BA41" s="319"/>
      <c r="BB41" s="499">
        <v>233</v>
      </c>
      <c r="BC41" s="319"/>
      <c r="BD41" s="499">
        <v>924.35</v>
      </c>
      <c r="BE41" s="319"/>
      <c r="BF41" s="499">
        <v>233</v>
      </c>
      <c r="BG41" s="319"/>
      <c r="BH41" s="499">
        <v>145.6</v>
      </c>
      <c r="BI41" s="319"/>
      <c r="BJ41" s="499">
        <v>292</v>
      </c>
      <c r="BK41" s="319"/>
      <c r="BL41" s="499">
        <v>26.85</v>
      </c>
      <c r="BM41" s="319"/>
      <c r="BN41" s="499">
        <v>12</v>
      </c>
      <c r="BO41" s="319"/>
      <c r="BP41" s="499">
        <v>1096.8</v>
      </c>
      <c r="BQ41" s="319"/>
      <c r="BR41" s="499">
        <v>537</v>
      </c>
      <c r="BS41" s="319"/>
      <c r="BT41" s="499">
        <v>0</v>
      </c>
      <c r="BU41" s="319"/>
      <c r="BV41" s="319"/>
      <c r="BW41" s="319"/>
      <c r="BX41" s="499">
        <v>1465.55</v>
      </c>
      <c r="BY41" s="319"/>
      <c r="BZ41" s="499">
        <v>3589</v>
      </c>
      <c r="CA41" s="319"/>
      <c r="CB41" s="499">
        <v>1465.55</v>
      </c>
      <c r="CC41" s="319"/>
      <c r="CD41" s="499">
        <v>3589</v>
      </c>
      <c r="CE41" s="319"/>
      <c r="CF41" s="499">
        <v>2643.8</v>
      </c>
      <c r="CG41" s="319"/>
      <c r="CH41" s="499">
        <v>4348</v>
      </c>
      <c r="CI41" s="319"/>
      <c r="CJ41" s="319"/>
      <c r="CK41" s="319"/>
      <c r="CL41" s="319"/>
      <c r="CM41" s="319"/>
      <c r="CN41" s="499">
        <v>3557.9</v>
      </c>
      <c r="CO41" s="319"/>
      <c r="CP41" s="499">
        <v>6483</v>
      </c>
      <c r="CQ41" s="499">
        <v>2147</v>
      </c>
      <c r="CR41" s="499">
        <v>4336</v>
      </c>
      <c r="CS41" s="499">
        <f t="shared" si="3"/>
        <v>6483</v>
      </c>
      <c r="CT41" s="352">
        <f t="shared" si="1"/>
        <v>2092.35</v>
      </c>
      <c r="CU41" s="351">
        <f t="shared" si="2"/>
        <v>1465.5500000000004</v>
      </c>
      <c r="CV41" s="351">
        <f t="shared" si="0"/>
        <v>3557.9000000000005</v>
      </c>
    </row>
    <row r="42" spans="1:100" x14ac:dyDescent="0.25">
      <c r="A42" s="496"/>
      <c r="B42" s="496"/>
      <c r="C42" s="496"/>
      <c r="D42" s="496"/>
      <c r="E42" s="496" t="s">
        <v>193</v>
      </c>
      <c r="F42" s="496"/>
      <c r="G42" s="496"/>
      <c r="H42" s="499">
        <v>0</v>
      </c>
      <c r="I42" s="319"/>
      <c r="J42" s="499"/>
      <c r="K42" s="319"/>
      <c r="L42" s="499">
        <v>0</v>
      </c>
      <c r="M42" s="319"/>
      <c r="N42" s="499">
        <v>0</v>
      </c>
      <c r="O42" s="319"/>
      <c r="P42" s="499">
        <v>0</v>
      </c>
      <c r="Q42" s="319"/>
      <c r="R42" s="499">
        <v>0</v>
      </c>
      <c r="S42" s="319"/>
      <c r="T42" s="499">
        <v>0</v>
      </c>
      <c r="U42" s="319"/>
      <c r="V42" s="499"/>
      <c r="W42" s="319"/>
      <c r="X42" s="499">
        <v>0</v>
      </c>
      <c r="Y42" s="319"/>
      <c r="Z42" s="319"/>
      <c r="AA42" s="319"/>
      <c r="AB42" s="319">
        <v>0</v>
      </c>
      <c r="AC42" s="319"/>
      <c r="AD42" s="319"/>
      <c r="AE42" s="319"/>
      <c r="AF42" s="319">
        <v>0</v>
      </c>
      <c r="AG42" s="319"/>
      <c r="AH42" s="319"/>
      <c r="AI42" s="319"/>
      <c r="AJ42" s="499">
        <v>0</v>
      </c>
      <c r="AK42" s="319"/>
      <c r="AL42" s="499"/>
      <c r="AM42" s="319"/>
      <c r="AN42" s="499">
        <v>0</v>
      </c>
      <c r="AO42" s="319"/>
      <c r="AP42" s="499"/>
      <c r="AQ42" s="319"/>
      <c r="AR42" s="499">
        <v>0</v>
      </c>
      <c r="AS42" s="319"/>
      <c r="AT42" s="499"/>
      <c r="AU42" s="319"/>
      <c r="AV42" s="499">
        <v>0</v>
      </c>
      <c r="AW42" s="319"/>
      <c r="AX42" s="319"/>
      <c r="AY42" s="319"/>
      <c r="AZ42" s="499">
        <v>0</v>
      </c>
      <c r="BA42" s="319"/>
      <c r="BB42" s="499"/>
      <c r="BC42" s="319"/>
      <c r="BD42" s="499">
        <v>0</v>
      </c>
      <c r="BE42" s="319"/>
      <c r="BF42" s="499"/>
      <c r="BG42" s="319"/>
      <c r="BH42" s="499">
        <v>0</v>
      </c>
      <c r="BI42" s="319"/>
      <c r="BJ42" s="499"/>
      <c r="BK42" s="319"/>
      <c r="BL42" s="499">
        <v>0</v>
      </c>
      <c r="BM42" s="319"/>
      <c r="BN42" s="499"/>
      <c r="BO42" s="319"/>
      <c r="BP42" s="499">
        <v>0</v>
      </c>
      <c r="BQ42" s="319"/>
      <c r="BR42" s="499"/>
      <c r="BS42" s="319"/>
      <c r="BT42" s="499">
        <v>0</v>
      </c>
      <c r="BU42" s="319"/>
      <c r="BV42" s="319"/>
      <c r="BW42" s="319"/>
      <c r="BX42" s="499">
        <v>0</v>
      </c>
      <c r="BY42" s="319"/>
      <c r="BZ42" s="499"/>
      <c r="CA42" s="319"/>
      <c r="CB42" s="499">
        <v>0</v>
      </c>
      <c r="CC42" s="319"/>
      <c r="CD42" s="499"/>
      <c r="CE42" s="319"/>
      <c r="CF42" s="499">
        <v>0</v>
      </c>
      <c r="CG42" s="319"/>
      <c r="CH42" s="499"/>
      <c r="CI42" s="319"/>
      <c r="CJ42" s="319"/>
      <c r="CK42" s="319"/>
      <c r="CL42" s="319"/>
      <c r="CM42" s="319"/>
      <c r="CN42" s="499">
        <v>0</v>
      </c>
      <c r="CO42" s="319"/>
      <c r="CP42" s="499">
        <v>0</v>
      </c>
      <c r="CQ42" s="499"/>
      <c r="CR42" s="499"/>
      <c r="CS42" s="499"/>
      <c r="CT42" s="352">
        <f t="shared" si="1"/>
        <v>0</v>
      </c>
      <c r="CU42" s="351">
        <f t="shared" si="2"/>
        <v>0</v>
      </c>
      <c r="CV42" s="351">
        <f t="shared" si="0"/>
        <v>0</v>
      </c>
    </row>
    <row r="43" spans="1:100" x14ac:dyDescent="0.25">
      <c r="A43" s="496"/>
      <c r="B43" s="496"/>
      <c r="C43" s="496"/>
      <c r="D43" s="496"/>
      <c r="E43" s="496" t="s">
        <v>194</v>
      </c>
      <c r="F43" s="496"/>
      <c r="G43" s="496"/>
      <c r="H43" s="499">
        <v>43.65</v>
      </c>
      <c r="I43" s="319"/>
      <c r="J43" s="499">
        <v>149</v>
      </c>
      <c r="K43" s="319"/>
      <c r="L43" s="499">
        <v>315.14</v>
      </c>
      <c r="M43" s="319"/>
      <c r="N43" s="499">
        <v>548</v>
      </c>
      <c r="O43" s="319"/>
      <c r="P43" s="499">
        <v>358.79</v>
      </c>
      <c r="Q43" s="319"/>
      <c r="R43" s="499">
        <v>697</v>
      </c>
      <c r="S43" s="319"/>
      <c r="T43" s="499">
        <v>2906.73</v>
      </c>
      <c r="U43" s="319"/>
      <c r="V43" s="499">
        <v>1594</v>
      </c>
      <c r="W43" s="319"/>
      <c r="X43" s="499">
        <v>0</v>
      </c>
      <c r="Y43" s="319"/>
      <c r="Z43" s="319"/>
      <c r="AA43" s="319"/>
      <c r="AB43" s="319">
        <v>0</v>
      </c>
      <c r="AC43" s="319"/>
      <c r="AD43" s="319"/>
      <c r="AE43" s="319"/>
      <c r="AF43" s="319">
        <v>0</v>
      </c>
      <c r="AG43" s="319"/>
      <c r="AH43" s="319"/>
      <c r="AI43" s="319"/>
      <c r="AJ43" s="499">
        <v>86.08</v>
      </c>
      <c r="AK43" s="319"/>
      <c r="AL43" s="499">
        <v>398</v>
      </c>
      <c r="AM43" s="319"/>
      <c r="AN43" s="499">
        <v>253.11</v>
      </c>
      <c r="AO43" s="319"/>
      <c r="AP43" s="499">
        <v>9697</v>
      </c>
      <c r="AQ43" s="319"/>
      <c r="AR43" s="499">
        <v>339.19</v>
      </c>
      <c r="AS43" s="319"/>
      <c r="AT43" s="499">
        <v>10095</v>
      </c>
      <c r="AU43" s="319"/>
      <c r="AV43" s="499">
        <v>0</v>
      </c>
      <c r="AW43" s="319"/>
      <c r="AX43" s="319"/>
      <c r="AY43" s="319"/>
      <c r="AZ43" s="499">
        <v>485.41</v>
      </c>
      <c r="BA43" s="319"/>
      <c r="BB43" s="499">
        <v>1295</v>
      </c>
      <c r="BC43" s="319"/>
      <c r="BD43" s="499">
        <v>485.41</v>
      </c>
      <c r="BE43" s="319"/>
      <c r="BF43" s="499">
        <v>1295</v>
      </c>
      <c r="BG43" s="319"/>
      <c r="BH43" s="499">
        <v>58.22</v>
      </c>
      <c r="BI43" s="319"/>
      <c r="BJ43" s="499">
        <v>199</v>
      </c>
      <c r="BK43" s="319"/>
      <c r="BL43" s="499">
        <v>87.31</v>
      </c>
      <c r="BM43" s="319"/>
      <c r="BN43" s="499">
        <v>299</v>
      </c>
      <c r="BO43" s="319"/>
      <c r="BP43" s="499">
        <v>630.94000000000005</v>
      </c>
      <c r="BQ43" s="319"/>
      <c r="BR43" s="499">
        <v>1793</v>
      </c>
      <c r="BS43" s="319"/>
      <c r="BT43" s="499">
        <v>0</v>
      </c>
      <c r="BU43" s="319"/>
      <c r="BV43" s="319"/>
      <c r="BW43" s="319"/>
      <c r="BX43" s="499">
        <v>845.67</v>
      </c>
      <c r="BY43" s="319"/>
      <c r="BZ43" s="499">
        <v>8232</v>
      </c>
      <c r="CA43" s="319"/>
      <c r="CB43" s="499">
        <v>845.67</v>
      </c>
      <c r="CC43" s="319"/>
      <c r="CD43" s="499">
        <v>8232</v>
      </c>
      <c r="CE43" s="319"/>
      <c r="CF43" s="499">
        <v>1815.8</v>
      </c>
      <c r="CG43" s="319"/>
      <c r="CH43" s="499">
        <v>20120</v>
      </c>
      <c r="CI43" s="319"/>
      <c r="CJ43" s="319"/>
      <c r="CK43" s="319"/>
      <c r="CL43" s="319"/>
      <c r="CM43" s="319"/>
      <c r="CN43" s="499">
        <v>5081.32</v>
      </c>
      <c r="CO43" s="319"/>
      <c r="CP43" s="499">
        <v>22411</v>
      </c>
      <c r="CQ43" s="499">
        <v>2590</v>
      </c>
      <c r="CR43" s="499">
        <v>19822</v>
      </c>
      <c r="CS43" s="499">
        <f>SUM(CQ43:CR43)</f>
        <v>22412</v>
      </c>
      <c r="CT43" s="352">
        <f t="shared" si="1"/>
        <v>4149.5699999999988</v>
      </c>
      <c r="CU43" s="351">
        <f t="shared" si="2"/>
        <v>931.74999999999989</v>
      </c>
      <c r="CV43" s="351">
        <f t="shared" si="0"/>
        <v>5081.3199999999988</v>
      </c>
    </row>
    <row r="44" spans="1:100" x14ac:dyDescent="0.25">
      <c r="A44" s="496"/>
      <c r="B44" s="496"/>
      <c r="C44" s="496"/>
      <c r="D44" s="496"/>
      <c r="E44" s="496" t="s">
        <v>195</v>
      </c>
      <c r="F44" s="496"/>
      <c r="G44" s="496"/>
      <c r="H44" s="499">
        <v>1625.12</v>
      </c>
      <c r="I44" s="319"/>
      <c r="J44" s="499">
        <v>229</v>
      </c>
      <c r="K44" s="319"/>
      <c r="L44" s="499">
        <v>14939.15</v>
      </c>
      <c r="M44" s="319"/>
      <c r="N44" s="499">
        <v>840</v>
      </c>
      <c r="O44" s="319"/>
      <c r="P44" s="499">
        <v>16564.27</v>
      </c>
      <c r="Q44" s="319"/>
      <c r="R44" s="499">
        <v>1069</v>
      </c>
      <c r="S44" s="319"/>
      <c r="T44" s="499">
        <v>7157.82</v>
      </c>
      <c r="U44" s="319"/>
      <c r="V44" s="499">
        <v>27443</v>
      </c>
      <c r="W44" s="319"/>
      <c r="X44" s="499">
        <v>0</v>
      </c>
      <c r="Y44" s="319"/>
      <c r="Z44" s="319"/>
      <c r="AA44" s="319"/>
      <c r="AB44" s="319">
        <v>0</v>
      </c>
      <c r="AC44" s="319"/>
      <c r="AD44" s="319"/>
      <c r="AE44" s="319"/>
      <c r="AF44" s="319">
        <v>0</v>
      </c>
      <c r="AG44" s="319"/>
      <c r="AH44" s="319"/>
      <c r="AI44" s="319"/>
      <c r="AJ44" s="499">
        <v>21447.599999999999</v>
      </c>
      <c r="AK44" s="319"/>
      <c r="AL44" s="499">
        <v>611</v>
      </c>
      <c r="AM44" s="319"/>
      <c r="AN44" s="499">
        <v>4977.83</v>
      </c>
      <c r="AO44" s="319"/>
      <c r="AP44" s="499">
        <v>41569</v>
      </c>
      <c r="AQ44" s="319"/>
      <c r="AR44" s="499">
        <v>26425.43</v>
      </c>
      <c r="AS44" s="319"/>
      <c r="AT44" s="499">
        <v>42180</v>
      </c>
      <c r="AU44" s="319"/>
      <c r="AV44" s="499">
        <v>0</v>
      </c>
      <c r="AW44" s="319"/>
      <c r="AX44" s="319"/>
      <c r="AY44" s="319"/>
      <c r="AZ44" s="499">
        <v>656.27</v>
      </c>
      <c r="BA44" s="319"/>
      <c r="BB44" s="499">
        <v>30610</v>
      </c>
      <c r="BC44" s="319"/>
      <c r="BD44" s="499">
        <v>656.27</v>
      </c>
      <c r="BE44" s="319"/>
      <c r="BF44" s="499">
        <v>30610</v>
      </c>
      <c r="BG44" s="319"/>
      <c r="BH44" s="499">
        <v>81.98</v>
      </c>
      <c r="BI44" s="319"/>
      <c r="BJ44" s="499">
        <v>305</v>
      </c>
      <c r="BK44" s="319"/>
      <c r="BL44" s="499">
        <v>207.33</v>
      </c>
      <c r="BM44" s="319"/>
      <c r="BN44" s="499">
        <v>458</v>
      </c>
      <c r="BO44" s="319"/>
      <c r="BP44" s="499">
        <v>945.58</v>
      </c>
      <c r="BQ44" s="319"/>
      <c r="BR44" s="499">
        <v>31373</v>
      </c>
      <c r="BS44" s="319"/>
      <c r="BT44" s="499">
        <v>0</v>
      </c>
      <c r="BU44" s="319"/>
      <c r="BV44" s="319"/>
      <c r="BW44" s="319"/>
      <c r="BX44" s="499">
        <v>3280.6</v>
      </c>
      <c r="BY44" s="319"/>
      <c r="BZ44" s="499">
        <v>55706</v>
      </c>
      <c r="CA44" s="319"/>
      <c r="CB44" s="499">
        <v>3280.6</v>
      </c>
      <c r="CC44" s="319"/>
      <c r="CD44" s="499">
        <v>55706</v>
      </c>
      <c r="CE44" s="319"/>
      <c r="CF44" s="499">
        <v>30651.61</v>
      </c>
      <c r="CG44" s="319"/>
      <c r="CH44" s="499">
        <v>129259</v>
      </c>
      <c r="CI44" s="319"/>
      <c r="CJ44" s="319"/>
      <c r="CK44" s="319"/>
      <c r="CL44" s="319"/>
      <c r="CM44" s="319"/>
      <c r="CN44" s="499">
        <v>54373.7</v>
      </c>
      <c r="CO44" s="319"/>
      <c r="CP44" s="499">
        <v>157771</v>
      </c>
      <c r="CQ44" s="499">
        <v>28970</v>
      </c>
      <c r="CR44" s="499">
        <v>128800</v>
      </c>
      <c r="CS44" s="499">
        <f>SUM(CQ44:CR44)</f>
        <v>157770</v>
      </c>
      <c r="CT44" s="352">
        <f t="shared" si="1"/>
        <v>29645.5</v>
      </c>
      <c r="CU44" s="351">
        <f t="shared" si="2"/>
        <v>24728.199999999997</v>
      </c>
      <c r="CV44" s="351">
        <f t="shared" si="0"/>
        <v>54373.7</v>
      </c>
    </row>
    <row r="45" spans="1:100" ht="15.75" thickBot="1" x14ac:dyDescent="0.3">
      <c r="A45" s="496"/>
      <c r="B45" s="496"/>
      <c r="C45" s="496"/>
      <c r="D45" s="496"/>
      <c r="E45" s="496" t="s">
        <v>254</v>
      </c>
      <c r="F45" s="496"/>
      <c r="G45" s="496"/>
      <c r="H45" s="497">
        <v>0</v>
      </c>
      <c r="I45" s="319"/>
      <c r="J45" s="497"/>
      <c r="K45" s="319"/>
      <c r="L45" s="497">
        <v>0</v>
      </c>
      <c r="M45" s="319"/>
      <c r="N45" s="497"/>
      <c r="O45" s="319"/>
      <c r="P45" s="497">
        <v>0</v>
      </c>
      <c r="Q45" s="319"/>
      <c r="R45" s="497"/>
      <c r="S45" s="319"/>
      <c r="T45" s="497">
        <v>0</v>
      </c>
      <c r="U45" s="319"/>
      <c r="V45" s="497"/>
      <c r="W45" s="319"/>
      <c r="X45" s="497">
        <v>0</v>
      </c>
      <c r="Y45" s="319"/>
      <c r="Z45" s="319"/>
      <c r="AA45" s="319"/>
      <c r="AB45" s="319">
        <v>0</v>
      </c>
      <c r="AC45" s="319"/>
      <c r="AD45" s="319"/>
      <c r="AE45" s="319"/>
      <c r="AF45" s="319">
        <v>0</v>
      </c>
      <c r="AG45" s="319"/>
      <c r="AH45" s="319"/>
      <c r="AI45" s="319"/>
      <c r="AJ45" s="497">
        <v>0</v>
      </c>
      <c r="AK45" s="319"/>
      <c r="AL45" s="497"/>
      <c r="AM45" s="319"/>
      <c r="AN45" s="497">
        <v>0</v>
      </c>
      <c r="AO45" s="319"/>
      <c r="AP45" s="497"/>
      <c r="AQ45" s="319"/>
      <c r="AR45" s="497">
        <v>0</v>
      </c>
      <c r="AS45" s="319"/>
      <c r="AT45" s="497"/>
      <c r="AU45" s="319"/>
      <c r="AV45" s="497">
        <v>0</v>
      </c>
      <c r="AW45" s="319"/>
      <c r="AX45" s="319"/>
      <c r="AY45" s="319"/>
      <c r="AZ45" s="497">
        <v>0</v>
      </c>
      <c r="BA45" s="319"/>
      <c r="BB45" s="497"/>
      <c r="BC45" s="319"/>
      <c r="BD45" s="497">
        <v>0</v>
      </c>
      <c r="BE45" s="319"/>
      <c r="BF45" s="497"/>
      <c r="BG45" s="319"/>
      <c r="BH45" s="497">
        <v>0</v>
      </c>
      <c r="BI45" s="319"/>
      <c r="BJ45" s="497"/>
      <c r="BK45" s="319"/>
      <c r="BL45" s="497">
        <v>0</v>
      </c>
      <c r="BM45" s="319"/>
      <c r="BN45" s="497"/>
      <c r="BO45" s="319"/>
      <c r="BP45" s="497">
        <v>0</v>
      </c>
      <c r="BQ45" s="319"/>
      <c r="BR45" s="497"/>
      <c r="BS45" s="319"/>
      <c r="BT45" s="497">
        <v>0</v>
      </c>
      <c r="BU45" s="319"/>
      <c r="BV45" s="319"/>
      <c r="BW45" s="319"/>
      <c r="BX45" s="497">
        <v>0</v>
      </c>
      <c r="BY45" s="319"/>
      <c r="BZ45" s="497">
        <v>1500</v>
      </c>
      <c r="CA45" s="319"/>
      <c r="CB45" s="497">
        <v>0</v>
      </c>
      <c r="CC45" s="319"/>
      <c r="CD45" s="497">
        <v>1500</v>
      </c>
      <c r="CE45" s="319"/>
      <c r="CF45" s="497">
        <v>0</v>
      </c>
      <c r="CG45" s="319"/>
      <c r="CH45" s="497">
        <v>1500</v>
      </c>
      <c r="CI45" s="319"/>
      <c r="CJ45" s="319"/>
      <c r="CK45" s="319"/>
      <c r="CL45" s="319"/>
      <c r="CM45" s="319"/>
      <c r="CN45" s="497">
        <v>0</v>
      </c>
      <c r="CO45" s="319"/>
      <c r="CP45" s="497">
        <v>1500</v>
      </c>
      <c r="CQ45" s="497"/>
      <c r="CR45" s="497">
        <v>1500</v>
      </c>
      <c r="CS45" s="497">
        <f>SUM(CQ45:CR45)</f>
        <v>1500</v>
      </c>
      <c r="CT45" s="352">
        <f t="shared" si="1"/>
        <v>0</v>
      </c>
      <c r="CU45" s="351">
        <f t="shared" si="2"/>
        <v>0</v>
      </c>
      <c r="CV45" s="351">
        <f t="shared" si="0"/>
        <v>0</v>
      </c>
    </row>
    <row r="46" spans="1:100" ht="15.75" thickBot="1" x14ac:dyDescent="0.3">
      <c r="A46" s="496"/>
      <c r="B46" s="496"/>
      <c r="C46" s="496"/>
      <c r="D46" s="496" t="s">
        <v>116</v>
      </c>
      <c r="E46" s="496"/>
      <c r="F46" s="496"/>
      <c r="G46" s="496"/>
      <c r="H46" s="322">
        <v>8718.65</v>
      </c>
      <c r="I46" s="319"/>
      <c r="J46" s="322">
        <v>25590</v>
      </c>
      <c r="K46" s="319"/>
      <c r="L46" s="322">
        <v>30704.05</v>
      </c>
      <c r="M46" s="319"/>
      <c r="N46" s="322">
        <v>48349</v>
      </c>
      <c r="O46" s="319"/>
      <c r="P46" s="322">
        <v>39422.699999999997</v>
      </c>
      <c r="Q46" s="319"/>
      <c r="R46" s="322">
        <v>73939</v>
      </c>
      <c r="S46" s="319"/>
      <c r="T46" s="322">
        <v>35471.06</v>
      </c>
      <c r="U46" s="319"/>
      <c r="V46" s="322">
        <v>118958</v>
      </c>
      <c r="W46" s="319"/>
      <c r="X46" s="322">
        <v>0</v>
      </c>
      <c r="Y46" s="319"/>
      <c r="Z46" s="319"/>
      <c r="AA46" s="319"/>
      <c r="AB46" s="319">
        <v>0</v>
      </c>
      <c r="AC46" s="319"/>
      <c r="AD46" s="319"/>
      <c r="AE46" s="319"/>
      <c r="AF46" s="319">
        <v>0</v>
      </c>
      <c r="AG46" s="319"/>
      <c r="AH46" s="319"/>
      <c r="AI46" s="319"/>
      <c r="AJ46" s="322">
        <v>25582.33</v>
      </c>
      <c r="AK46" s="319"/>
      <c r="AL46" s="322">
        <v>15582</v>
      </c>
      <c r="AM46" s="319"/>
      <c r="AN46" s="322">
        <v>12011.7</v>
      </c>
      <c r="AO46" s="319"/>
      <c r="AP46" s="322">
        <v>111086</v>
      </c>
      <c r="AQ46" s="319"/>
      <c r="AR46" s="322">
        <v>37594.03</v>
      </c>
      <c r="AS46" s="319"/>
      <c r="AT46" s="322">
        <v>126668</v>
      </c>
      <c r="AU46" s="319"/>
      <c r="AV46" s="322">
        <v>0</v>
      </c>
      <c r="AW46" s="319"/>
      <c r="AX46" s="319"/>
      <c r="AY46" s="319"/>
      <c r="AZ46" s="322">
        <v>23708.15</v>
      </c>
      <c r="BA46" s="319"/>
      <c r="BB46" s="322">
        <v>112102</v>
      </c>
      <c r="BC46" s="319"/>
      <c r="BD46" s="322">
        <v>23708.15</v>
      </c>
      <c r="BE46" s="319"/>
      <c r="BF46" s="322">
        <v>112102</v>
      </c>
      <c r="BG46" s="319"/>
      <c r="BH46" s="322">
        <v>5543.03</v>
      </c>
      <c r="BI46" s="319"/>
      <c r="BJ46" s="322">
        <v>12589</v>
      </c>
      <c r="BK46" s="319"/>
      <c r="BL46" s="322">
        <v>5766.22</v>
      </c>
      <c r="BM46" s="319"/>
      <c r="BN46" s="322">
        <v>14011</v>
      </c>
      <c r="BO46" s="319"/>
      <c r="BP46" s="322">
        <v>35017.4</v>
      </c>
      <c r="BQ46" s="319"/>
      <c r="BR46" s="322">
        <v>138702</v>
      </c>
      <c r="BS46" s="319"/>
      <c r="BT46" s="322">
        <v>0</v>
      </c>
      <c r="BU46" s="319"/>
      <c r="BV46" s="319"/>
      <c r="BW46" s="319"/>
      <c r="BX46" s="322">
        <v>40724.6</v>
      </c>
      <c r="BY46" s="319"/>
      <c r="BZ46" s="322">
        <v>161469</v>
      </c>
      <c r="CA46" s="319"/>
      <c r="CB46" s="322">
        <v>40724.6</v>
      </c>
      <c r="CC46" s="319"/>
      <c r="CD46" s="322">
        <v>161469</v>
      </c>
      <c r="CE46" s="319"/>
      <c r="CF46" s="322">
        <v>113336.03</v>
      </c>
      <c r="CG46" s="319"/>
      <c r="CH46" s="322">
        <v>426839</v>
      </c>
      <c r="CI46" s="319"/>
      <c r="CJ46" s="319"/>
      <c r="CK46" s="319"/>
      <c r="CL46" s="319"/>
      <c r="CM46" s="319"/>
      <c r="CN46" s="322">
        <v>188229.79</v>
      </c>
      <c r="CO46" s="319"/>
      <c r="CP46" s="322">
        <v>619736</v>
      </c>
      <c r="CQ46" s="497">
        <f>SUM(CQ29:CQ45)</f>
        <v>206908</v>
      </c>
      <c r="CR46" s="497">
        <f>SUM(CR29:CR45)</f>
        <v>412828</v>
      </c>
      <c r="CS46" s="497">
        <f>SUM(CQ46:CR46)</f>
        <v>619736</v>
      </c>
      <c r="CT46" s="352">
        <f>CN46-CF46+BL46+BH46+AZ46+AN46</f>
        <v>121922.86</v>
      </c>
      <c r="CU46" s="351">
        <f t="shared" si="2"/>
        <v>66306.930000000008</v>
      </c>
      <c r="CV46" s="351">
        <f t="shared" si="0"/>
        <v>188229.79</v>
      </c>
    </row>
    <row r="47" spans="1:100" ht="15.75" thickBot="1" x14ac:dyDescent="0.3">
      <c r="A47" s="496"/>
      <c r="B47" s="496" t="s">
        <v>196</v>
      </c>
      <c r="C47" s="496"/>
      <c r="D47" s="496"/>
      <c r="E47" s="496"/>
      <c r="F47" s="496"/>
      <c r="G47" s="496"/>
      <c r="H47" s="322">
        <v>-8571.74</v>
      </c>
      <c r="I47" s="319"/>
      <c r="J47" s="322">
        <v>-25040</v>
      </c>
      <c r="K47" s="319"/>
      <c r="L47" s="322">
        <v>-19620.53</v>
      </c>
      <c r="M47" s="319"/>
      <c r="N47" s="322">
        <v>-32479</v>
      </c>
      <c r="O47" s="319"/>
      <c r="P47" s="322">
        <v>-28192.27</v>
      </c>
      <c r="Q47" s="319"/>
      <c r="R47" s="322">
        <v>-57519</v>
      </c>
      <c r="S47" s="319"/>
      <c r="T47" s="322">
        <v>-231.84</v>
      </c>
      <c r="U47" s="319"/>
      <c r="V47" s="322">
        <v>36042</v>
      </c>
      <c r="W47" s="319"/>
      <c r="X47" s="322">
        <v>0</v>
      </c>
      <c r="Y47" s="319"/>
      <c r="Z47" s="319"/>
      <c r="AA47" s="319"/>
      <c r="AB47" s="319">
        <v>752.19</v>
      </c>
      <c r="AC47" s="319"/>
      <c r="AD47" s="319"/>
      <c r="AE47" s="319"/>
      <c r="AF47" s="319">
        <v>3000</v>
      </c>
      <c r="AG47" s="319"/>
      <c r="AH47" s="319"/>
      <c r="AI47" s="319"/>
      <c r="AJ47" s="322">
        <v>-25582.33</v>
      </c>
      <c r="AK47" s="319"/>
      <c r="AL47" s="322">
        <v>-15582</v>
      </c>
      <c r="AM47" s="319"/>
      <c r="AN47" s="322">
        <v>-12011.7</v>
      </c>
      <c r="AO47" s="319"/>
      <c r="AP47" s="322">
        <v>13914</v>
      </c>
      <c r="AQ47" s="319"/>
      <c r="AR47" s="322">
        <v>-33841.839999999997</v>
      </c>
      <c r="AS47" s="319"/>
      <c r="AT47" s="322">
        <v>-1668</v>
      </c>
      <c r="AU47" s="319"/>
      <c r="AV47" s="322">
        <v>0</v>
      </c>
      <c r="AW47" s="319"/>
      <c r="AX47" s="319"/>
      <c r="AY47" s="319"/>
      <c r="AZ47" s="322">
        <v>-23708.15</v>
      </c>
      <c r="BA47" s="319"/>
      <c r="BB47" s="322">
        <v>12898</v>
      </c>
      <c r="BC47" s="319"/>
      <c r="BD47" s="322">
        <v>-23708.15</v>
      </c>
      <c r="BE47" s="319"/>
      <c r="BF47" s="322">
        <v>12898</v>
      </c>
      <c r="BG47" s="319"/>
      <c r="BH47" s="322">
        <v>-5543.03</v>
      </c>
      <c r="BI47" s="319"/>
      <c r="BJ47" s="322">
        <v>-12589</v>
      </c>
      <c r="BK47" s="319"/>
      <c r="BL47" s="322">
        <v>675.74</v>
      </c>
      <c r="BM47" s="319"/>
      <c r="BN47" s="322">
        <v>75989</v>
      </c>
      <c r="BO47" s="319"/>
      <c r="BP47" s="322">
        <v>-28575.439999999999</v>
      </c>
      <c r="BQ47" s="319"/>
      <c r="BR47" s="322">
        <v>76298</v>
      </c>
      <c r="BS47" s="319"/>
      <c r="BT47" s="322">
        <v>0</v>
      </c>
      <c r="BU47" s="319"/>
      <c r="BV47" s="319"/>
      <c r="BW47" s="319"/>
      <c r="BX47" s="322">
        <v>-37011.25</v>
      </c>
      <c r="BY47" s="319"/>
      <c r="BZ47" s="322">
        <v>-27719</v>
      </c>
      <c r="CA47" s="319"/>
      <c r="CB47" s="322">
        <v>-37011.25</v>
      </c>
      <c r="CC47" s="319"/>
      <c r="CD47" s="322">
        <v>-27719</v>
      </c>
      <c r="CE47" s="319"/>
      <c r="CF47" s="322">
        <v>-99428.53</v>
      </c>
      <c r="CG47" s="319"/>
      <c r="CH47" s="322">
        <v>46911</v>
      </c>
      <c r="CI47" s="319"/>
      <c r="CJ47" s="319"/>
      <c r="CK47" s="319"/>
      <c r="CL47" s="319"/>
      <c r="CM47" s="319"/>
      <c r="CN47" s="322">
        <v>-127852.64</v>
      </c>
      <c r="CO47" s="319"/>
      <c r="CP47" s="322">
        <v>25434</v>
      </c>
      <c r="CQ47" s="497"/>
      <c r="CR47" s="497"/>
      <c r="CS47" s="497"/>
      <c r="CT47" s="352">
        <f t="shared" si="1"/>
        <v>-69011.25</v>
      </c>
      <c r="CU47" s="351">
        <f t="shared" si="2"/>
        <v>-58841.39</v>
      </c>
      <c r="CV47" s="351">
        <f t="shared" si="0"/>
        <v>-127852.64</v>
      </c>
    </row>
    <row r="48" spans="1:100" s="324" customFormat="1" ht="15.75" thickBot="1" x14ac:dyDescent="0.3">
      <c r="A48" s="496" t="s">
        <v>197</v>
      </c>
      <c r="B48" s="496"/>
      <c r="C48" s="496"/>
      <c r="D48" s="496"/>
      <c r="E48" s="496"/>
      <c r="F48" s="496"/>
      <c r="G48" s="496"/>
      <c r="H48" s="323">
        <v>-8571.74</v>
      </c>
      <c r="I48" s="496"/>
      <c r="J48" s="323">
        <v>-25040</v>
      </c>
      <c r="K48" s="496"/>
      <c r="L48" s="323">
        <v>-19620.53</v>
      </c>
      <c r="M48" s="496"/>
      <c r="N48" s="323">
        <v>-32479</v>
      </c>
      <c r="O48" s="496"/>
      <c r="P48" s="323">
        <v>-28192.27</v>
      </c>
      <c r="Q48" s="496"/>
      <c r="R48" s="323">
        <v>-57519</v>
      </c>
      <c r="S48" s="496"/>
      <c r="T48" s="323">
        <v>-231.84</v>
      </c>
      <c r="U48" s="496"/>
      <c r="V48" s="323">
        <v>36042</v>
      </c>
      <c r="W48" s="496"/>
      <c r="X48" s="323">
        <v>0</v>
      </c>
      <c r="Y48" s="496"/>
      <c r="Z48" s="496"/>
      <c r="AA48" s="531"/>
      <c r="AB48" s="531">
        <v>752.19</v>
      </c>
      <c r="AC48" s="531"/>
      <c r="AD48" s="531"/>
      <c r="AE48" s="531"/>
      <c r="AF48" s="531">
        <v>3000</v>
      </c>
      <c r="AG48" s="531"/>
      <c r="AH48" s="531"/>
      <c r="AI48" s="496"/>
      <c r="AJ48" s="323">
        <v>-25582.33</v>
      </c>
      <c r="AK48" s="496"/>
      <c r="AL48" s="323">
        <v>-15582</v>
      </c>
      <c r="AM48" s="496"/>
      <c r="AN48" s="323">
        <v>-12011.7</v>
      </c>
      <c r="AO48" s="496"/>
      <c r="AP48" s="323">
        <v>13914</v>
      </c>
      <c r="AQ48" s="496"/>
      <c r="AR48" s="323">
        <v>-33841.839999999997</v>
      </c>
      <c r="AS48" s="496"/>
      <c r="AT48" s="323">
        <v>-1668</v>
      </c>
      <c r="AU48" s="496"/>
      <c r="AV48" s="323">
        <v>0</v>
      </c>
      <c r="AW48" s="496"/>
      <c r="AX48" s="496"/>
      <c r="AY48" s="496"/>
      <c r="AZ48" s="323">
        <v>-23708.15</v>
      </c>
      <c r="BA48" s="496"/>
      <c r="BB48" s="323">
        <v>12898</v>
      </c>
      <c r="BC48" s="496"/>
      <c r="BD48" s="323">
        <v>-23708.15</v>
      </c>
      <c r="BE48" s="496"/>
      <c r="BF48" s="323">
        <v>12898</v>
      </c>
      <c r="BG48" s="496"/>
      <c r="BH48" s="323">
        <v>-5543.03</v>
      </c>
      <c r="BI48" s="496"/>
      <c r="BJ48" s="323">
        <v>-12589</v>
      </c>
      <c r="BK48" s="496"/>
      <c r="BL48" s="323">
        <v>675.74</v>
      </c>
      <c r="BM48" s="496"/>
      <c r="BN48" s="323">
        <v>75989</v>
      </c>
      <c r="BO48" s="496"/>
      <c r="BP48" s="323">
        <v>-28575.439999999999</v>
      </c>
      <c r="BQ48" s="496"/>
      <c r="BR48" s="323">
        <v>76298</v>
      </c>
      <c r="BS48" s="496"/>
      <c r="BT48" s="323">
        <v>0</v>
      </c>
      <c r="BU48" s="496"/>
      <c r="BV48" s="496"/>
      <c r="BW48" s="496"/>
      <c r="BX48" s="323">
        <v>-37011.25</v>
      </c>
      <c r="BY48" s="496"/>
      <c r="BZ48" s="323">
        <v>-27719</v>
      </c>
      <c r="CA48" s="496"/>
      <c r="CB48" s="323">
        <v>-37011.25</v>
      </c>
      <c r="CC48" s="496"/>
      <c r="CD48" s="323">
        <v>-27719</v>
      </c>
      <c r="CE48" s="496"/>
      <c r="CF48" s="323">
        <v>-99428.53</v>
      </c>
      <c r="CG48" s="496"/>
      <c r="CH48" s="323">
        <v>46911</v>
      </c>
      <c r="CI48" s="496"/>
      <c r="CJ48" s="531"/>
      <c r="CK48" s="531"/>
      <c r="CL48" s="531"/>
      <c r="CM48" s="531"/>
      <c r="CN48" s="323">
        <v>-127852.64</v>
      </c>
      <c r="CO48" s="496"/>
      <c r="CP48" s="323">
        <v>25434</v>
      </c>
      <c r="CQ48" s="488"/>
      <c r="CR48" s="488"/>
      <c r="CS48" s="488"/>
      <c r="CT48" s="352">
        <f t="shared" si="1"/>
        <v>-69011.25</v>
      </c>
      <c r="CU48" s="351">
        <f t="shared" si="2"/>
        <v>-58841.39</v>
      </c>
      <c r="CV48" s="502">
        <f t="shared" si="0"/>
        <v>-127852.64</v>
      </c>
    </row>
    <row r="49" ht="15.75" thickTop="1" x14ac:dyDescent="0.25"/>
  </sheetData>
  <pageMargins left="0.2" right="0.2" top="1" bottom="0.5" header="0.1" footer="0.3"/>
  <pageSetup scale="90" orientation="portrait" r:id="rId1"/>
  <headerFooter>
    <oddHeader>&amp;L&amp;"Arial,Bold"&amp;8 1:44 PM
 10/01/19
 Accrual Basis&amp;C&amp;"Arial,Bold"&amp;12 League of Women Voters of California Education Fund
&amp;14 Statement of Activities Budget vs. Actual
&amp;10 July through August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553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285750</xdr:colOff>
                <xdr:row>1</xdr:row>
                <xdr:rowOff>38100</xdr:rowOff>
              </to>
            </anchor>
          </controlPr>
        </control>
      </mc:Choice>
      <mc:Fallback>
        <control shapeId="65537" r:id="rId4" name="FILTER"/>
      </mc:Fallback>
    </mc:AlternateContent>
    <mc:AlternateContent xmlns:mc="http://schemas.openxmlformats.org/markup-compatibility/2006">
      <mc:Choice Requires="x14">
        <control shapeId="6553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285750</xdr:colOff>
                <xdr:row>1</xdr:row>
                <xdr:rowOff>38100</xdr:rowOff>
              </to>
            </anchor>
          </controlPr>
        </control>
      </mc:Choice>
      <mc:Fallback>
        <control shapeId="65538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F46"/>
  <sheetViews>
    <sheetView workbookViewId="0">
      <pane xSplit="7" ySplit="1" topLeftCell="H21" activePane="bottomRight" state="frozenSplit"/>
      <selection pane="topRight" activeCell="H1" sqref="H1"/>
      <selection pane="bottomLeft" activeCell="A2" sqref="A2"/>
      <selection pane="bottomRight" activeCell="Z48" sqref="Z48"/>
    </sheetView>
  </sheetViews>
  <sheetFormatPr defaultRowHeight="15" x14ac:dyDescent="0.25"/>
  <cols>
    <col min="1" max="6" width="1.140625" style="491" customWidth="1"/>
    <col min="7" max="7" width="35.140625" style="491" customWidth="1"/>
    <col min="8" max="8" width="8.42578125" style="492" bestFit="1" customWidth="1"/>
    <col min="9" max="9" width="2.28515625" style="492" customWidth="1"/>
    <col min="10" max="10" width="8.42578125" style="492" bestFit="1" customWidth="1"/>
    <col min="11" max="11" width="2.28515625" style="492" customWidth="1"/>
    <col min="12" max="12" width="8.42578125" style="492" bestFit="1" customWidth="1"/>
    <col min="13" max="13" width="2.28515625" style="492" customWidth="1"/>
    <col min="14" max="14" width="7.85546875" style="492" bestFit="1" customWidth="1"/>
    <col min="15" max="15" width="2.28515625" style="492" customWidth="1"/>
    <col min="16" max="16" width="8.42578125" style="492" bestFit="1" customWidth="1"/>
    <col min="17" max="17" width="2.28515625" style="492" customWidth="1"/>
    <col min="18" max="18" width="7.85546875" style="492" bestFit="1" customWidth="1"/>
    <col min="19" max="19" width="2.28515625" style="492" customWidth="1"/>
    <col min="20" max="20" width="9.7109375" style="492" customWidth="1"/>
    <col min="21" max="21" width="2.28515625" style="492" customWidth="1"/>
    <col min="22" max="22" width="8.42578125" style="492" bestFit="1" customWidth="1"/>
    <col min="23" max="23" width="2.28515625" style="492" customWidth="1"/>
    <col min="24" max="24" width="7.85546875" style="492" customWidth="1"/>
    <col min="25" max="25" width="2.28515625" style="492" customWidth="1"/>
    <col min="26" max="26" width="8.42578125" style="492" bestFit="1" customWidth="1"/>
    <col min="27" max="27" width="2.28515625" style="492" customWidth="1"/>
    <col min="28" max="28" width="8.42578125" style="492" bestFit="1" customWidth="1"/>
    <col min="29" max="29" width="2.28515625" style="492" customWidth="1"/>
    <col min="30" max="30" width="8.42578125" style="492" bestFit="1" customWidth="1"/>
    <col min="31" max="31" width="2.28515625" style="492" customWidth="1"/>
    <col min="32" max="32" width="9.28515625" style="492" bestFit="1" customWidth="1"/>
    <col min="33" max="16384" width="9.140625" style="490"/>
  </cols>
  <sheetData>
    <row r="1" spans="1:32" s="494" customFormat="1" ht="15.75" thickBot="1" x14ac:dyDescent="0.3">
      <c r="A1" s="493"/>
      <c r="B1" s="493"/>
      <c r="C1" s="493"/>
      <c r="D1" s="493"/>
      <c r="E1" s="493"/>
      <c r="F1" s="493"/>
      <c r="G1" s="493"/>
      <c r="H1" s="355" t="s">
        <v>399</v>
      </c>
      <c r="I1" s="317"/>
      <c r="J1" s="355" t="s">
        <v>400</v>
      </c>
      <c r="K1" s="317"/>
      <c r="L1" s="355" t="s">
        <v>404</v>
      </c>
      <c r="M1" s="317"/>
      <c r="N1" s="355" t="s">
        <v>410</v>
      </c>
      <c r="O1" s="317"/>
      <c r="P1" s="355" t="s">
        <v>411</v>
      </c>
      <c r="Q1" s="317"/>
      <c r="R1" s="355" t="s">
        <v>414</v>
      </c>
      <c r="S1" s="317"/>
      <c r="T1" s="355" t="s">
        <v>419</v>
      </c>
      <c r="U1" s="317"/>
      <c r="V1" s="355" t="s">
        <v>435</v>
      </c>
      <c r="W1" s="317"/>
      <c r="X1" s="355" t="s">
        <v>436</v>
      </c>
      <c r="Y1" s="317"/>
      <c r="Z1" s="355" t="s">
        <v>467</v>
      </c>
      <c r="AA1" s="317"/>
      <c r="AB1" s="355" t="s">
        <v>491</v>
      </c>
      <c r="AC1" s="317"/>
      <c r="AD1" s="355" t="s">
        <v>492</v>
      </c>
      <c r="AE1" s="317"/>
      <c r="AF1" s="355" t="s">
        <v>145</v>
      </c>
    </row>
    <row r="2" spans="1:32" ht="15.75" thickTop="1" x14ac:dyDescent="0.25">
      <c r="A2" s="496"/>
      <c r="B2" s="496" t="s">
        <v>146</v>
      </c>
      <c r="C2" s="496"/>
      <c r="D2" s="496"/>
      <c r="E2" s="496"/>
      <c r="F2" s="496"/>
      <c r="G2" s="496"/>
      <c r="H2" s="499"/>
      <c r="I2" s="319"/>
      <c r="J2" s="499"/>
      <c r="K2" s="319"/>
      <c r="L2" s="499"/>
      <c r="M2" s="319"/>
      <c r="N2" s="499"/>
      <c r="O2" s="319"/>
      <c r="P2" s="499"/>
      <c r="Q2" s="319"/>
      <c r="R2" s="499"/>
      <c r="S2" s="319"/>
      <c r="T2" s="499"/>
      <c r="U2" s="319"/>
      <c r="V2" s="499"/>
      <c r="W2" s="319"/>
      <c r="X2" s="499"/>
      <c r="Y2" s="319"/>
      <c r="Z2" s="499"/>
      <c r="AA2" s="319"/>
      <c r="AB2" s="499"/>
      <c r="AC2" s="319"/>
      <c r="AD2" s="499"/>
      <c r="AE2" s="319"/>
      <c r="AF2" s="499"/>
    </row>
    <row r="3" spans="1:32" x14ac:dyDescent="0.25">
      <c r="A3" s="496"/>
      <c r="B3" s="496"/>
      <c r="C3" s="496"/>
      <c r="D3" s="496" t="s">
        <v>147</v>
      </c>
      <c r="E3" s="496"/>
      <c r="F3" s="496"/>
      <c r="G3" s="496"/>
      <c r="H3" s="499"/>
      <c r="I3" s="319"/>
      <c r="J3" s="499"/>
      <c r="K3" s="319"/>
      <c r="L3" s="499"/>
      <c r="M3" s="319"/>
      <c r="N3" s="499"/>
      <c r="O3" s="319"/>
      <c r="P3" s="499"/>
      <c r="Q3" s="319"/>
      <c r="R3" s="499"/>
      <c r="S3" s="319"/>
      <c r="T3" s="499"/>
      <c r="U3" s="319"/>
      <c r="V3" s="499"/>
      <c r="W3" s="319"/>
      <c r="X3" s="499"/>
      <c r="Y3" s="319"/>
      <c r="Z3" s="499"/>
      <c r="AA3" s="319"/>
      <c r="AB3" s="499"/>
      <c r="AC3" s="319"/>
      <c r="AD3" s="499"/>
      <c r="AE3" s="319"/>
      <c r="AF3" s="499"/>
    </row>
    <row r="4" spans="1:32" x14ac:dyDescent="0.25">
      <c r="A4" s="496"/>
      <c r="B4" s="496"/>
      <c r="C4" s="496"/>
      <c r="D4" s="496"/>
      <c r="E4" s="496" t="s">
        <v>153</v>
      </c>
      <c r="F4" s="496"/>
      <c r="G4" s="496"/>
      <c r="H4" s="499"/>
      <c r="I4" s="319"/>
      <c r="J4" s="499"/>
      <c r="K4" s="319"/>
      <c r="L4" s="499"/>
      <c r="M4" s="319"/>
      <c r="N4" s="499"/>
      <c r="O4" s="319"/>
      <c r="P4" s="499"/>
      <c r="Q4" s="319"/>
      <c r="R4" s="499"/>
      <c r="S4" s="319"/>
      <c r="T4" s="499"/>
      <c r="U4" s="319"/>
      <c r="V4" s="499"/>
      <c r="W4" s="319"/>
      <c r="X4" s="499"/>
      <c r="Y4" s="319"/>
      <c r="Z4" s="499"/>
      <c r="AA4" s="319"/>
      <c r="AB4" s="499"/>
      <c r="AC4" s="319"/>
      <c r="AD4" s="499"/>
      <c r="AE4" s="319"/>
      <c r="AF4" s="499"/>
    </row>
    <row r="5" spans="1:32" x14ac:dyDescent="0.25">
      <c r="A5" s="496"/>
      <c r="B5" s="496"/>
      <c r="C5" s="496"/>
      <c r="D5" s="496"/>
      <c r="E5" s="496"/>
      <c r="F5" s="496" t="s">
        <v>199</v>
      </c>
      <c r="G5" s="496"/>
      <c r="H5" s="499"/>
      <c r="I5" s="319"/>
      <c r="J5" s="499"/>
      <c r="K5" s="319"/>
      <c r="L5" s="499"/>
      <c r="M5" s="319"/>
      <c r="N5" s="499"/>
      <c r="O5" s="319"/>
      <c r="P5" s="499"/>
      <c r="Q5" s="319"/>
      <c r="R5" s="499"/>
      <c r="S5" s="319"/>
      <c r="T5" s="499"/>
      <c r="U5" s="319"/>
      <c r="V5" s="499"/>
      <c r="W5" s="319"/>
      <c r="X5" s="499"/>
      <c r="Y5" s="319"/>
      <c r="Z5" s="499"/>
      <c r="AA5" s="319"/>
      <c r="AB5" s="499"/>
      <c r="AC5" s="319"/>
      <c r="AD5" s="499"/>
      <c r="AE5" s="319"/>
      <c r="AF5" s="499"/>
    </row>
    <row r="6" spans="1:32" ht="15.75" thickBot="1" x14ac:dyDescent="0.3">
      <c r="A6" s="496"/>
      <c r="B6" s="496"/>
      <c r="C6" s="496"/>
      <c r="D6" s="496"/>
      <c r="E6" s="496"/>
      <c r="F6" s="496"/>
      <c r="G6" s="496" t="s">
        <v>200</v>
      </c>
      <c r="H6" s="320">
        <v>0</v>
      </c>
      <c r="I6" s="319"/>
      <c r="J6" s="320">
        <v>2782.5</v>
      </c>
      <c r="K6" s="319"/>
      <c r="L6" s="320">
        <v>0</v>
      </c>
      <c r="M6" s="319"/>
      <c r="N6" s="320">
        <v>0</v>
      </c>
      <c r="O6" s="319"/>
      <c r="P6" s="320">
        <v>87.5</v>
      </c>
      <c r="Q6" s="319"/>
      <c r="R6" s="320">
        <v>0</v>
      </c>
      <c r="S6" s="319"/>
      <c r="T6" s="320">
        <v>0</v>
      </c>
      <c r="U6" s="319"/>
      <c r="V6" s="320">
        <v>4089.75</v>
      </c>
      <c r="W6" s="319"/>
      <c r="X6" s="320">
        <v>501.37</v>
      </c>
      <c r="Y6" s="319"/>
      <c r="Z6" s="320">
        <v>3153.5</v>
      </c>
      <c r="AA6" s="319"/>
      <c r="AB6" s="320">
        <v>756</v>
      </c>
      <c r="AC6" s="319"/>
      <c r="AD6" s="320">
        <v>191.63</v>
      </c>
      <c r="AE6" s="319"/>
      <c r="AF6" s="320">
        <v>11562.25</v>
      </c>
    </row>
    <row r="7" spans="1:32" x14ac:dyDescent="0.25">
      <c r="A7" s="496"/>
      <c r="B7" s="496"/>
      <c r="C7" s="496"/>
      <c r="D7" s="496"/>
      <c r="E7" s="496"/>
      <c r="F7" s="496" t="s">
        <v>201</v>
      </c>
      <c r="G7" s="496"/>
      <c r="H7" s="499">
        <v>0</v>
      </c>
      <c r="I7" s="319"/>
      <c r="J7" s="499">
        <v>2782.5</v>
      </c>
      <c r="K7" s="319"/>
      <c r="L7" s="499">
        <v>0</v>
      </c>
      <c r="M7" s="319"/>
      <c r="N7" s="499">
        <v>0</v>
      </c>
      <c r="O7" s="319"/>
      <c r="P7" s="499">
        <v>87.5</v>
      </c>
      <c r="Q7" s="319"/>
      <c r="R7" s="499">
        <v>0</v>
      </c>
      <c r="S7" s="319"/>
      <c r="T7" s="499">
        <v>0</v>
      </c>
      <c r="U7" s="319"/>
      <c r="V7" s="499">
        <v>4089.75</v>
      </c>
      <c r="W7" s="319"/>
      <c r="X7" s="499">
        <v>501.37</v>
      </c>
      <c r="Y7" s="319"/>
      <c r="Z7" s="499">
        <v>3153.5</v>
      </c>
      <c r="AA7" s="319"/>
      <c r="AB7" s="499">
        <v>756</v>
      </c>
      <c r="AC7" s="319"/>
      <c r="AD7" s="499">
        <v>191.63</v>
      </c>
      <c r="AE7" s="319"/>
      <c r="AF7" s="499">
        <v>11562.25</v>
      </c>
    </row>
    <row r="8" spans="1:32" x14ac:dyDescent="0.25">
      <c r="A8" s="496"/>
      <c r="B8" s="496"/>
      <c r="C8" s="496"/>
      <c r="D8" s="496"/>
      <c r="E8" s="496"/>
      <c r="F8" s="496" t="s">
        <v>202</v>
      </c>
      <c r="G8" s="496"/>
      <c r="H8" s="499">
        <v>4700</v>
      </c>
      <c r="I8" s="319"/>
      <c r="J8" s="499">
        <v>400</v>
      </c>
      <c r="K8" s="319"/>
      <c r="L8" s="499">
        <v>2800</v>
      </c>
      <c r="M8" s="319"/>
      <c r="N8" s="499">
        <v>1850</v>
      </c>
      <c r="O8" s="319"/>
      <c r="P8" s="499">
        <v>1600</v>
      </c>
      <c r="Q8" s="319"/>
      <c r="R8" s="499">
        <v>1000</v>
      </c>
      <c r="S8" s="319"/>
      <c r="T8" s="499">
        <v>500</v>
      </c>
      <c r="U8" s="319"/>
      <c r="V8" s="499">
        <v>1000</v>
      </c>
      <c r="W8" s="319"/>
      <c r="X8" s="499">
        <v>0</v>
      </c>
      <c r="Y8" s="319"/>
      <c r="Z8" s="499">
        <v>0</v>
      </c>
      <c r="AA8" s="319"/>
      <c r="AB8" s="499">
        <v>0</v>
      </c>
      <c r="AC8" s="319"/>
      <c r="AD8" s="499">
        <v>200</v>
      </c>
      <c r="AE8" s="319"/>
      <c r="AF8" s="499">
        <v>14050</v>
      </c>
    </row>
    <row r="9" spans="1:32" x14ac:dyDescent="0.25">
      <c r="A9" s="496"/>
      <c r="B9" s="496"/>
      <c r="C9" s="496"/>
      <c r="D9" s="496"/>
      <c r="E9" s="496"/>
      <c r="F9" s="496" t="s">
        <v>222</v>
      </c>
      <c r="G9" s="496"/>
      <c r="H9" s="499">
        <v>0</v>
      </c>
      <c r="I9" s="319"/>
      <c r="J9" s="499">
        <v>0</v>
      </c>
      <c r="K9" s="319"/>
      <c r="L9" s="499">
        <v>1000</v>
      </c>
      <c r="M9" s="319"/>
      <c r="N9" s="499">
        <v>0</v>
      </c>
      <c r="O9" s="319"/>
      <c r="P9" s="499">
        <v>0</v>
      </c>
      <c r="Q9" s="319"/>
      <c r="R9" s="499">
        <v>0</v>
      </c>
      <c r="S9" s="319"/>
      <c r="T9" s="499">
        <v>0</v>
      </c>
      <c r="U9" s="319"/>
      <c r="V9" s="499">
        <v>0</v>
      </c>
      <c r="W9" s="319"/>
      <c r="X9" s="499">
        <v>0</v>
      </c>
      <c r="Y9" s="319"/>
      <c r="Z9" s="499">
        <v>0</v>
      </c>
      <c r="AA9" s="319"/>
      <c r="AB9" s="499">
        <v>0</v>
      </c>
      <c r="AC9" s="319"/>
      <c r="AD9" s="499">
        <v>0</v>
      </c>
      <c r="AE9" s="319"/>
      <c r="AF9" s="499">
        <v>1000</v>
      </c>
    </row>
    <row r="10" spans="1:32" x14ac:dyDescent="0.25">
      <c r="A10" s="496"/>
      <c r="B10" s="496"/>
      <c r="C10" s="496"/>
      <c r="D10" s="496"/>
      <c r="E10" s="496"/>
      <c r="F10" s="496" t="s">
        <v>203</v>
      </c>
      <c r="G10" s="496"/>
      <c r="H10" s="499">
        <v>55699.76</v>
      </c>
      <c r="I10" s="319"/>
      <c r="J10" s="499">
        <v>5284</v>
      </c>
      <c r="K10" s="319"/>
      <c r="L10" s="499">
        <v>5411.76</v>
      </c>
      <c r="M10" s="319"/>
      <c r="N10" s="499">
        <v>3239</v>
      </c>
      <c r="O10" s="319"/>
      <c r="P10" s="499">
        <v>1539</v>
      </c>
      <c r="Q10" s="319"/>
      <c r="R10" s="499">
        <v>6369.36</v>
      </c>
      <c r="S10" s="319"/>
      <c r="T10" s="499">
        <v>2135</v>
      </c>
      <c r="U10" s="319"/>
      <c r="V10" s="499">
        <v>8109</v>
      </c>
      <c r="W10" s="319"/>
      <c r="X10" s="499">
        <v>6787.39</v>
      </c>
      <c r="Y10" s="319"/>
      <c r="Z10" s="499">
        <v>8384</v>
      </c>
      <c r="AA10" s="319"/>
      <c r="AB10" s="499">
        <v>1809.32</v>
      </c>
      <c r="AC10" s="319"/>
      <c r="AD10" s="499">
        <v>9599.51</v>
      </c>
      <c r="AE10" s="319"/>
      <c r="AF10" s="499">
        <v>114367.1</v>
      </c>
    </row>
    <row r="11" spans="1:32" x14ac:dyDescent="0.25">
      <c r="A11" s="496"/>
      <c r="B11" s="496"/>
      <c r="C11" s="496"/>
      <c r="D11" s="496"/>
      <c r="E11" s="496"/>
      <c r="F11" s="496" t="s">
        <v>204</v>
      </c>
      <c r="G11" s="496"/>
      <c r="H11" s="499">
        <v>12176.5</v>
      </c>
      <c r="I11" s="319"/>
      <c r="J11" s="499">
        <v>110</v>
      </c>
      <c r="K11" s="319"/>
      <c r="L11" s="499">
        <v>110</v>
      </c>
      <c r="M11" s="319"/>
      <c r="N11" s="499">
        <v>210</v>
      </c>
      <c r="O11" s="319"/>
      <c r="P11" s="499">
        <v>375</v>
      </c>
      <c r="Q11" s="319"/>
      <c r="R11" s="499">
        <v>110</v>
      </c>
      <c r="S11" s="319"/>
      <c r="T11" s="499">
        <v>110</v>
      </c>
      <c r="U11" s="319"/>
      <c r="V11" s="499">
        <v>10</v>
      </c>
      <c r="W11" s="319"/>
      <c r="X11" s="499">
        <v>10</v>
      </c>
      <c r="Y11" s="319"/>
      <c r="Z11" s="499">
        <v>50</v>
      </c>
      <c r="AA11" s="319"/>
      <c r="AB11" s="499">
        <v>0</v>
      </c>
      <c r="AC11" s="319"/>
      <c r="AD11" s="499">
        <v>2443.35</v>
      </c>
      <c r="AE11" s="319"/>
      <c r="AF11" s="499">
        <v>15714.85</v>
      </c>
    </row>
    <row r="12" spans="1:32" x14ac:dyDescent="0.25">
      <c r="A12" s="496"/>
      <c r="B12" s="496"/>
      <c r="C12" s="496"/>
      <c r="D12" s="496"/>
      <c r="E12" s="496"/>
      <c r="F12" s="496" t="s">
        <v>156</v>
      </c>
      <c r="G12" s="496"/>
      <c r="H12" s="499">
        <v>354.5</v>
      </c>
      <c r="I12" s="319"/>
      <c r="J12" s="499">
        <v>0</v>
      </c>
      <c r="K12" s="319"/>
      <c r="L12" s="499">
        <v>0</v>
      </c>
      <c r="M12" s="319"/>
      <c r="N12" s="499">
        <v>254.73</v>
      </c>
      <c r="O12" s="319"/>
      <c r="P12" s="499">
        <v>0</v>
      </c>
      <c r="Q12" s="319"/>
      <c r="R12" s="499">
        <v>0</v>
      </c>
      <c r="S12" s="319"/>
      <c r="T12" s="499">
        <v>207.5</v>
      </c>
      <c r="U12" s="319"/>
      <c r="V12" s="499">
        <v>0</v>
      </c>
      <c r="W12" s="319"/>
      <c r="X12" s="499">
        <v>118.86</v>
      </c>
      <c r="Y12" s="319"/>
      <c r="Z12" s="499">
        <v>33.049999999999997</v>
      </c>
      <c r="AA12" s="319"/>
      <c r="AB12" s="499">
        <v>425</v>
      </c>
      <c r="AC12" s="319"/>
      <c r="AD12" s="499">
        <v>0</v>
      </c>
      <c r="AE12" s="319"/>
      <c r="AF12" s="499">
        <v>1393.64</v>
      </c>
    </row>
    <row r="13" spans="1:32" x14ac:dyDescent="0.25">
      <c r="A13" s="496"/>
      <c r="B13" s="496"/>
      <c r="C13" s="496"/>
      <c r="D13" s="496"/>
      <c r="E13" s="496"/>
      <c r="F13" s="496" t="s">
        <v>206</v>
      </c>
      <c r="G13" s="496"/>
      <c r="H13" s="499">
        <v>0</v>
      </c>
      <c r="I13" s="319"/>
      <c r="J13" s="499">
        <v>0</v>
      </c>
      <c r="K13" s="319"/>
      <c r="L13" s="499">
        <v>0</v>
      </c>
      <c r="M13" s="319"/>
      <c r="N13" s="499">
        <v>75000</v>
      </c>
      <c r="O13" s="319"/>
      <c r="P13" s="499">
        <v>0</v>
      </c>
      <c r="Q13" s="319"/>
      <c r="R13" s="499">
        <v>10000</v>
      </c>
      <c r="S13" s="319"/>
      <c r="T13" s="499">
        <v>15000</v>
      </c>
      <c r="U13" s="319"/>
      <c r="V13" s="499">
        <v>0</v>
      </c>
      <c r="W13" s="319"/>
      <c r="X13" s="499">
        <v>0</v>
      </c>
      <c r="Y13" s="319"/>
      <c r="Z13" s="499">
        <v>0</v>
      </c>
      <c r="AA13" s="319"/>
      <c r="AB13" s="499">
        <v>3000</v>
      </c>
      <c r="AC13" s="319"/>
      <c r="AD13" s="499">
        <v>0</v>
      </c>
      <c r="AE13" s="319"/>
      <c r="AF13" s="499">
        <v>103000</v>
      </c>
    </row>
    <row r="14" spans="1:32" ht="15.75" thickBot="1" x14ac:dyDescent="0.3">
      <c r="A14" s="496"/>
      <c r="B14" s="496"/>
      <c r="C14" s="496"/>
      <c r="D14" s="496"/>
      <c r="E14" s="496"/>
      <c r="F14" s="496" t="s">
        <v>158</v>
      </c>
      <c r="G14" s="496"/>
      <c r="H14" s="320">
        <v>0</v>
      </c>
      <c r="I14" s="319"/>
      <c r="J14" s="320">
        <v>0</v>
      </c>
      <c r="K14" s="319"/>
      <c r="L14" s="320">
        <v>0</v>
      </c>
      <c r="M14" s="319"/>
      <c r="N14" s="320">
        <v>0</v>
      </c>
      <c r="O14" s="319"/>
      <c r="P14" s="320">
        <v>0</v>
      </c>
      <c r="Q14" s="319"/>
      <c r="R14" s="320">
        <v>0</v>
      </c>
      <c r="S14" s="319"/>
      <c r="T14" s="320">
        <v>1175</v>
      </c>
      <c r="U14" s="319"/>
      <c r="V14" s="320">
        <v>0</v>
      </c>
      <c r="W14" s="319"/>
      <c r="X14" s="320">
        <v>0</v>
      </c>
      <c r="Y14" s="319"/>
      <c r="Z14" s="320">
        <v>0</v>
      </c>
      <c r="AA14" s="319"/>
      <c r="AB14" s="320">
        <v>0</v>
      </c>
      <c r="AC14" s="319"/>
      <c r="AD14" s="320">
        <v>0</v>
      </c>
      <c r="AE14" s="319"/>
      <c r="AF14" s="320">
        <v>1175</v>
      </c>
    </row>
    <row r="15" spans="1:32" x14ac:dyDescent="0.25">
      <c r="A15" s="496"/>
      <c r="B15" s="496"/>
      <c r="C15" s="496"/>
      <c r="D15" s="496"/>
      <c r="E15" s="496" t="s">
        <v>159</v>
      </c>
      <c r="F15" s="496"/>
      <c r="G15" s="496"/>
      <c r="H15" s="499">
        <v>72930.759999999995</v>
      </c>
      <c r="I15" s="319"/>
      <c r="J15" s="499">
        <v>8576.5</v>
      </c>
      <c r="K15" s="319"/>
      <c r="L15" s="499">
        <v>9321.76</v>
      </c>
      <c r="M15" s="319"/>
      <c r="N15" s="499">
        <v>80553.73</v>
      </c>
      <c r="O15" s="319"/>
      <c r="P15" s="499">
        <v>3601.5</v>
      </c>
      <c r="Q15" s="319"/>
      <c r="R15" s="499">
        <v>17479.36</v>
      </c>
      <c r="S15" s="319"/>
      <c r="T15" s="499">
        <v>19127.5</v>
      </c>
      <c r="U15" s="319"/>
      <c r="V15" s="499">
        <v>13208.75</v>
      </c>
      <c r="W15" s="319"/>
      <c r="X15" s="499">
        <v>7417.62</v>
      </c>
      <c r="Y15" s="319"/>
      <c r="Z15" s="499">
        <v>11620.55</v>
      </c>
      <c r="AA15" s="319"/>
      <c r="AB15" s="499">
        <v>5990.32</v>
      </c>
      <c r="AC15" s="319"/>
      <c r="AD15" s="499">
        <v>12434.49</v>
      </c>
      <c r="AE15" s="319"/>
      <c r="AF15" s="499">
        <v>262262.84000000003</v>
      </c>
    </row>
    <row r="16" spans="1:32" x14ac:dyDescent="0.25">
      <c r="A16" s="496"/>
      <c r="B16" s="496"/>
      <c r="C16" s="496"/>
      <c r="D16" s="496"/>
      <c r="E16" s="496" t="s">
        <v>207</v>
      </c>
      <c r="F16" s="496"/>
      <c r="G16" s="496"/>
      <c r="H16" s="499"/>
      <c r="I16" s="319"/>
      <c r="J16" s="499"/>
      <c r="K16" s="319"/>
      <c r="L16" s="499"/>
      <c r="M16" s="319"/>
      <c r="N16" s="499"/>
      <c r="O16" s="319"/>
      <c r="P16" s="499"/>
      <c r="Q16" s="319"/>
      <c r="R16" s="499"/>
      <c r="S16" s="319"/>
      <c r="T16" s="499"/>
      <c r="U16" s="319"/>
      <c r="V16" s="499"/>
      <c r="W16" s="319"/>
      <c r="X16" s="499"/>
      <c r="Y16" s="319"/>
      <c r="Z16" s="499"/>
      <c r="AA16" s="319"/>
      <c r="AB16" s="499"/>
      <c r="AC16" s="319"/>
      <c r="AD16" s="499"/>
      <c r="AE16" s="319"/>
      <c r="AF16" s="499"/>
    </row>
    <row r="17" spans="1:32" x14ac:dyDescent="0.25">
      <c r="A17" s="496"/>
      <c r="B17" s="496"/>
      <c r="C17" s="496"/>
      <c r="D17" s="496"/>
      <c r="E17" s="496"/>
      <c r="F17" s="496" t="s">
        <v>208</v>
      </c>
      <c r="G17" s="496"/>
      <c r="H17" s="499">
        <v>150.82</v>
      </c>
      <c r="I17" s="319"/>
      <c r="J17" s="499">
        <v>1137</v>
      </c>
      <c r="K17" s="319"/>
      <c r="L17" s="499">
        <v>730.21</v>
      </c>
      <c r="M17" s="319"/>
      <c r="N17" s="499">
        <v>0</v>
      </c>
      <c r="O17" s="319"/>
      <c r="P17" s="499">
        <v>0</v>
      </c>
      <c r="Q17" s="319"/>
      <c r="R17" s="499">
        <v>255.84</v>
      </c>
      <c r="S17" s="319"/>
      <c r="T17" s="499">
        <v>654.45000000000005</v>
      </c>
      <c r="U17" s="319"/>
      <c r="V17" s="499">
        <v>0</v>
      </c>
      <c r="W17" s="319"/>
      <c r="X17" s="499">
        <v>0</v>
      </c>
      <c r="Y17" s="319"/>
      <c r="Z17" s="499">
        <v>0</v>
      </c>
      <c r="AA17" s="319"/>
      <c r="AB17" s="499">
        <v>200.95</v>
      </c>
      <c r="AC17" s="319"/>
      <c r="AD17" s="499">
        <v>429.18</v>
      </c>
      <c r="AE17" s="319"/>
      <c r="AF17" s="499">
        <v>3558.45</v>
      </c>
    </row>
    <row r="18" spans="1:32" x14ac:dyDescent="0.25">
      <c r="A18" s="496"/>
      <c r="B18" s="496"/>
      <c r="C18" s="496"/>
      <c r="D18" s="496"/>
      <c r="E18" s="496"/>
      <c r="F18" s="496" t="s">
        <v>162</v>
      </c>
      <c r="G18" s="496"/>
      <c r="H18" s="499">
        <v>0</v>
      </c>
      <c r="I18" s="319"/>
      <c r="J18" s="499">
        <v>73.900000000000006</v>
      </c>
      <c r="K18" s="319"/>
      <c r="L18" s="499">
        <v>406.46</v>
      </c>
      <c r="M18" s="319"/>
      <c r="N18" s="499">
        <v>147.13</v>
      </c>
      <c r="O18" s="319"/>
      <c r="P18" s="499">
        <v>691.68</v>
      </c>
      <c r="Q18" s="319"/>
      <c r="R18" s="499">
        <v>36.78</v>
      </c>
      <c r="S18" s="319"/>
      <c r="T18" s="499">
        <v>0</v>
      </c>
      <c r="U18" s="319"/>
      <c r="V18" s="499">
        <v>0</v>
      </c>
      <c r="W18" s="319"/>
      <c r="X18" s="499">
        <v>1066.67</v>
      </c>
      <c r="Y18" s="319"/>
      <c r="Z18" s="499">
        <v>1377</v>
      </c>
      <c r="AA18" s="319"/>
      <c r="AB18" s="499">
        <v>377.05</v>
      </c>
      <c r="AC18" s="319"/>
      <c r="AD18" s="499">
        <v>420</v>
      </c>
      <c r="AE18" s="319"/>
      <c r="AF18" s="499">
        <v>4596.67</v>
      </c>
    </row>
    <row r="19" spans="1:32" x14ac:dyDescent="0.25">
      <c r="A19" s="496"/>
      <c r="B19" s="496"/>
      <c r="C19" s="496"/>
      <c r="D19" s="496"/>
      <c r="E19" s="496"/>
      <c r="F19" s="496" t="s">
        <v>163</v>
      </c>
      <c r="G19" s="496"/>
      <c r="H19" s="499">
        <v>0</v>
      </c>
      <c r="I19" s="319"/>
      <c r="J19" s="499">
        <v>77</v>
      </c>
      <c r="K19" s="319"/>
      <c r="L19" s="499">
        <v>20.5</v>
      </c>
      <c r="M19" s="319"/>
      <c r="N19" s="499">
        <v>0</v>
      </c>
      <c r="O19" s="319"/>
      <c r="P19" s="499">
        <v>0</v>
      </c>
      <c r="Q19" s="319"/>
      <c r="R19" s="499">
        <v>0</v>
      </c>
      <c r="S19" s="319"/>
      <c r="T19" s="499">
        <v>0</v>
      </c>
      <c r="U19" s="319"/>
      <c r="V19" s="499">
        <v>0</v>
      </c>
      <c r="W19" s="319"/>
      <c r="X19" s="499">
        <v>0</v>
      </c>
      <c r="Y19" s="319"/>
      <c r="Z19" s="499">
        <v>44</v>
      </c>
      <c r="AA19" s="319"/>
      <c r="AB19" s="499">
        <v>24.5</v>
      </c>
      <c r="AC19" s="319"/>
      <c r="AD19" s="499">
        <v>64</v>
      </c>
      <c r="AE19" s="319"/>
      <c r="AF19" s="499">
        <v>230</v>
      </c>
    </row>
    <row r="20" spans="1:32" ht="15.75" thickBot="1" x14ac:dyDescent="0.3">
      <c r="A20" s="496"/>
      <c r="B20" s="496"/>
      <c r="C20" s="496"/>
      <c r="D20" s="496"/>
      <c r="E20" s="496"/>
      <c r="F20" s="496" t="s">
        <v>209</v>
      </c>
      <c r="G20" s="496"/>
      <c r="H20" s="320">
        <v>200</v>
      </c>
      <c r="I20" s="319"/>
      <c r="J20" s="320">
        <v>-4500</v>
      </c>
      <c r="K20" s="319"/>
      <c r="L20" s="320">
        <v>15000</v>
      </c>
      <c r="M20" s="319"/>
      <c r="N20" s="320">
        <v>0</v>
      </c>
      <c r="O20" s="319"/>
      <c r="P20" s="320">
        <v>400</v>
      </c>
      <c r="Q20" s="319"/>
      <c r="R20" s="320">
        <v>10800</v>
      </c>
      <c r="S20" s="319"/>
      <c r="T20" s="320">
        <v>1517</v>
      </c>
      <c r="U20" s="319"/>
      <c r="V20" s="320">
        <v>0</v>
      </c>
      <c r="W20" s="319"/>
      <c r="X20" s="320">
        <v>0</v>
      </c>
      <c r="Y20" s="319"/>
      <c r="Z20" s="320">
        <v>5000</v>
      </c>
      <c r="AA20" s="319"/>
      <c r="AB20" s="320">
        <v>0</v>
      </c>
      <c r="AC20" s="319"/>
      <c r="AD20" s="320">
        <v>0</v>
      </c>
      <c r="AE20" s="319"/>
      <c r="AF20" s="320">
        <v>28417</v>
      </c>
    </row>
    <row r="21" spans="1:32" x14ac:dyDescent="0.25">
      <c r="A21" s="496"/>
      <c r="B21" s="496"/>
      <c r="C21" s="496"/>
      <c r="D21" s="496"/>
      <c r="E21" s="496" t="s">
        <v>210</v>
      </c>
      <c r="F21" s="496"/>
      <c r="G21" s="496"/>
      <c r="H21" s="499">
        <v>350.82</v>
      </c>
      <c r="I21" s="319"/>
      <c r="J21" s="499">
        <v>-3212.1</v>
      </c>
      <c r="K21" s="319"/>
      <c r="L21" s="499">
        <v>16157.17</v>
      </c>
      <c r="M21" s="319"/>
      <c r="N21" s="499">
        <v>147.13</v>
      </c>
      <c r="O21" s="319"/>
      <c r="P21" s="499">
        <v>1091.68</v>
      </c>
      <c r="Q21" s="319"/>
      <c r="R21" s="499">
        <v>11092.62</v>
      </c>
      <c r="S21" s="319"/>
      <c r="T21" s="499">
        <v>2171.4499999999998</v>
      </c>
      <c r="U21" s="319"/>
      <c r="V21" s="499">
        <v>0</v>
      </c>
      <c r="W21" s="319"/>
      <c r="X21" s="499">
        <v>1066.67</v>
      </c>
      <c r="Y21" s="319"/>
      <c r="Z21" s="499">
        <v>6421</v>
      </c>
      <c r="AA21" s="319"/>
      <c r="AB21" s="499">
        <v>602.5</v>
      </c>
      <c r="AC21" s="319"/>
      <c r="AD21" s="499">
        <v>913.18</v>
      </c>
      <c r="AE21" s="319"/>
      <c r="AF21" s="499">
        <v>36802.120000000003</v>
      </c>
    </row>
    <row r="22" spans="1:32" x14ac:dyDescent="0.25">
      <c r="A22" s="496"/>
      <c r="B22" s="496"/>
      <c r="C22" s="496"/>
      <c r="D22" s="496"/>
      <c r="E22" s="496" t="s">
        <v>211</v>
      </c>
      <c r="F22" s="496"/>
      <c r="G22" s="496"/>
      <c r="H22" s="499">
        <v>175</v>
      </c>
      <c r="I22" s="319"/>
      <c r="J22" s="499">
        <v>175</v>
      </c>
      <c r="K22" s="319"/>
      <c r="L22" s="499">
        <v>175</v>
      </c>
      <c r="M22" s="319"/>
      <c r="N22" s="499">
        <v>175</v>
      </c>
      <c r="O22" s="319"/>
      <c r="P22" s="499">
        <v>175</v>
      </c>
      <c r="Q22" s="319"/>
      <c r="R22" s="499">
        <v>175</v>
      </c>
      <c r="S22" s="319"/>
      <c r="T22" s="499">
        <v>175</v>
      </c>
      <c r="U22" s="319"/>
      <c r="V22" s="499">
        <v>175</v>
      </c>
      <c r="W22" s="319"/>
      <c r="X22" s="499">
        <v>175</v>
      </c>
      <c r="Y22" s="319"/>
      <c r="Z22" s="499">
        <v>175</v>
      </c>
      <c r="AA22" s="319"/>
      <c r="AB22" s="499">
        <v>175</v>
      </c>
      <c r="AC22" s="319"/>
      <c r="AD22" s="499">
        <v>175</v>
      </c>
      <c r="AE22" s="319"/>
      <c r="AF22" s="499">
        <v>2100</v>
      </c>
    </row>
    <row r="23" spans="1:32" x14ac:dyDescent="0.25">
      <c r="A23" s="496"/>
      <c r="B23" s="496"/>
      <c r="C23" s="496"/>
      <c r="D23" s="496"/>
      <c r="E23" s="496" t="s">
        <v>173</v>
      </c>
      <c r="F23" s="496"/>
      <c r="G23" s="496"/>
      <c r="H23" s="499">
        <v>28.37</v>
      </c>
      <c r="I23" s="319"/>
      <c r="J23" s="499">
        <v>24.36</v>
      </c>
      <c r="K23" s="319"/>
      <c r="L23" s="499">
        <v>23.76</v>
      </c>
      <c r="M23" s="319"/>
      <c r="N23" s="499">
        <v>152.15</v>
      </c>
      <c r="O23" s="319"/>
      <c r="P23" s="499">
        <v>151.84</v>
      </c>
      <c r="Q23" s="319"/>
      <c r="R23" s="499">
        <v>209.02</v>
      </c>
      <c r="S23" s="319"/>
      <c r="T23" s="499">
        <v>177.27</v>
      </c>
      <c r="U23" s="319"/>
      <c r="V23" s="499">
        <v>233.69</v>
      </c>
      <c r="W23" s="319"/>
      <c r="X23" s="499">
        <v>340.9</v>
      </c>
      <c r="Y23" s="319"/>
      <c r="Z23" s="499">
        <v>293.95999999999998</v>
      </c>
      <c r="AA23" s="319"/>
      <c r="AB23" s="499">
        <v>345</v>
      </c>
      <c r="AC23" s="319"/>
      <c r="AD23" s="499">
        <v>302.72000000000003</v>
      </c>
      <c r="AE23" s="319"/>
      <c r="AF23" s="499">
        <v>2283.04</v>
      </c>
    </row>
    <row r="24" spans="1:32" ht="15.75" thickBot="1" x14ac:dyDescent="0.3">
      <c r="A24" s="496"/>
      <c r="B24" s="496"/>
      <c r="C24" s="496"/>
      <c r="D24" s="496"/>
      <c r="E24" s="496" t="s">
        <v>212</v>
      </c>
      <c r="F24" s="496"/>
      <c r="G24" s="496"/>
      <c r="H24" s="320">
        <v>-167.68</v>
      </c>
      <c r="I24" s="319"/>
      <c r="J24" s="320">
        <v>361.6</v>
      </c>
      <c r="K24" s="319"/>
      <c r="L24" s="320">
        <v>30.08</v>
      </c>
      <c r="M24" s="319"/>
      <c r="N24" s="320">
        <v>281.60000000000002</v>
      </c>
      <c r="O24" s="319"/>
      <c r="P24" s="320">
        <v>-227.2</v>
      </c>
      <c r="Q24" s="319"/>
      <c r="R24" s="320">
        <v>0</v>
      </c>
      <c r="S24" s="319"/>
      <c r="T24" s="320">
        <v>-46.17</v>
      </c>
      <c r="U24" s="319"/>
      <c r="V24" s="320">
        <v>0</v>
      </c>
      <c r="W24" s="319"/>
      <c r="X24" s="320">
        <v>0</v>
      </c>
      <c r="Y24" s="319"/>
      <c r="Z24" s="320">
        <v>0</v>
      </c>
      <c r="AA24" s="319"/>
      <c r="AB24" s="320">
        <v>172.06</v>
      </c>
      <c r="AC24" s="319"/>
      <c r="AD24" s="320">
        <v>0</v>
      </c>
      <c r="AE24" s="319"/>
      <c r="AF24" s="320">
        <v>404.29</v>
      </c>
    </row>
    <row r="25" spans="1:32" x14ac:dyDescent="0.25">
      <c r="A25" s="496"/>
      <c r="B25" s="496"/>
      <c r="C25" s="496"/>
      <c r="D25" s="496" t="s">
        <v>32</v>
      </c>
      <c r="E25" s="496"/>
      <c r="F25" s="496"/>
      <c r="G25" s="496"/>
      <c r="H25" s="499">
        <v>73317.27</v>
      </c>
      <c r="I25" s="319"/>
      <c r="J25" s="499">
        <v>5925.36</v>
      </c>
      <c r="K25" s="319"/>
      <c r="L25" s="499">
        <v>25707.77</v>
      </c>
      <c r="M25" s="319"/>
      <c r="N25" s="499">
        <v>81309.61</v>
      </c>
      <c r="O25" s="319"/>
      <c r="P25" s="499">
        <v>4792.82</v>
      </c>
      <c r="Q25" s="319"/>
      <c r="R25" s="499">
        <v>28956</v>
      </c>
      <c r="S25" s="319"/>
      <c r="T25" s="499">
        <v>21605.05</v>
      </c>
      <c r="U25" s="319"/>
      <c r="V25" s="499">
        <v>13617.44</v>
      </c>
      <c r="W25" s="319"/>
      <c r="X25" s="499">
        <v>9000.19</v>
      </c>
      <c r="Y25" s="319"/>
      <c r="Z25" s="499">
        <v>18510.509999999998</v>
      </c>
      <c r="AA25" s="319"/>
      <c r="AB25" s="499">
        <v>7284.88</v>
      </c>
      <c r="AC25" s="319"/>
      <c r="AD25" s="499">
        <v>13825.39</v>
      </c>
      <c r="AE25" s="319"/>
      <c r="AF25" s="499">
        <v>303852.28999999998</v>
      </c>
    </row>
    <row r="26" spans="1:32" x14ac:dyDescent="0.25">
      <c r="A26" s="496"/>
      <c r="B26" s="496"/>
      <c r="C26" s="496"/>
      <c r="D26" s="496" t="s">
        <v>175</v>
      </c>
      <c r="E26" s="496"/>
      <c r="F26" s="496"/>
      <c r="G26" s="496"/>
      <c r="H26" s="499">
        <v>0</v>
      </c>
      <c r="I26" s="319"/>
      <c r="J26" s="499">
        <v>0</v>
      </c>
      <c r="K26" s="319"/>
      <c r="L26" s="499">
        <v>905.66</v>
      </c>
      <c r="M26" s="319"/>
      <c r="N26" s="499">
        <v>56.31</v>
      </c>
      <c r="O26" s="319"/>
      <c r="P26" s="499">
        <v>0</v>
      </c>
      <c r="Q26" s="319"/>
      <c r="R26" s="499">
        <v>0</v>
      </c>
      <c r="S26" s="319"/>
      <c r="T26" s="499">
        <v>0</v>
      </c>
      <c r="U26" s="319"/>
      <c r="V26" s="499">
        <v>0</v>
      </c>
      <c r="W26" s="319"/>
      <c r="X26" s="499">
        <v>381.44</v>
      </c>
      <c r="Y26" s="319"/>
      <c r="Z26" s="499">
        <v>272.73</v>
      </c>
      <c r="AA26" s="319"/>
      <c r="AB26" s="499">
        <v>0</v>
      </c>
      <c r="AC26" s="319"/>
      <c r="AD26" s="499">
        <v>1207.0899999999999</v>
      </c>
      <c r="AE26" s="319"/>
      <c r="AF26" s="499">
        <v>2823.23</v>
      </c>
    </row>
    <row r="27" spans="1:32" ht="15.75" thickBot="1" x14ac:dyDescent="0.3">
      <c r="A27" s="496"/>
      <c r="B27" s="496"/>
      <c r="C27" s="496" t="s">
        <v>178</v>
      </c>
      <c r="D27" s="496"/>
      <c r="E27" s="496"/>
      <c r="F27" s="496"/>
      <c r="G27" s="496"/>
      <c r="H27" s="497">
        <v>73317.27</v>
      </c>
      <c r="I27" s="319"/>
      <c r="J27" s="497">
        <v>5925.36</v>
      </c>
      <c r="K27" s="319"/>
      <c r="L27" s="497">
        <v>24802.11</v>
      </c>
      <c r="M27" s="319"/>
      <c r="N27" s="497">
        <v>81253.3</v>
      </c>
      <c r="O27" s="319"/>
      <c r="P27" s="497">
        <v>4792.82</v>
      </c>
      <c r="Q27" s="319"/>
      <c r="R27" s="497">
        <v>28956</v>
      </c>
      <c r="S27" s="319"/>
      <c r="T27" s="497">
        <v>21605.05</v>
      </c>
      <c r="U27" s="319"/>
      <c r="V27" s="497">
        <v>13617.44</v>
      </c>
      <c r="W27" s="319"/>
      <c r="X27" s="497">
        <v>8618.75</v>
      </c>
      <c r="Y27" s="319"/>
      <c r="Z27" s="497">
        <v>18237.78</v>
      </c>
      <c r="AA27" s="319"/>
      <c r="AB27" s="497">
        <v>7284.88</v>
      </c>
      <c r="AC27" s="319"/>
      <c r="AD27" s="497">
        <v>12618.3</v>
      </c>
      <c r="AE27" s="319"/>
      <c r="AF27" s="497">
        <v>301029.06</v>
      </c>
    </row>
    <row r="28" spans="1:32" ht="15.75" thickBot="1" x14ac:dyDescent="0.3">
      <c r="A28" s="496"/>
      <c r="B28" s="496"/>
      <c r="C28" s="496"/>
      <c r="D28" s="496" t="s">
        <v>68</v>
      </c>
      <c r="E28" s="496"/>
      <c r="F28" s="496"/>
      <c r="G28" s="496"/>
      <c r="H28" s="321"/>
      <c r="I28" s="319"/>
      <c r="J28" s="321"/>
      <c r="K28" s="319"/>
      <c r="L28" s="321"/>
      <c r="M28" s="319"/>
      <c r="N28" s="321"/>
      <c r="O28" s="319"/>
      <c r="P28" s="321"/>
      <c r="Q28" s="319"/>
      <c r="R28" s="321"/>
      <c r="S28" s="319"/>
      <c r="T28" s="321"/>
      <c r="U28" s="319"/>
      <c r="V28" s="321"/>
      <c r="W28" s="319"/>
      <c r="X28" s="321"/>
      <c r="Y28" s="319"/>
      <c r="Z28" s="321"/>
      <c r="AA28" s="319"/>
      <c r="AB28" s="321"/>
      <c r="AC28" s="319"/>
      <c r="AD28" s="321"/>
      <c r="AE28" s="319"/>
      <c r="AF28" s="321"/>
    </row>
    <row r="29" spans="1:32" x14ac:dyDescent="0.25">
      <c r="A29" s="496"/>
      <c r="B29" s="496"/>
      <c r="C29" s="496"/>
      <c r="D29" s="496"/>
      <c r="E29" s="496" t="s">
        <v>179</v>
      </c>
      <c r="F29" s="496"/>
      <c r="G29" s="496"/>
      <c r="H29" s="499">
        <v>23489.42</v>
      </c>
      <c r="I29" s="319"/>
      <c r="J29" s="499">
        <v>24562.63</v>
      </c>
      <c r="K29" s="319"/>
      <c r="L29" s="499">
        <v>22739.79</v>
      </c>
      <c r="M29" s="319"/>
      <c r="N29" s="499">
        <v>22745.45</v>
      </c>
      <c r="O29" s="319"/>
      <c r="P29" s="499">
        <v>22447.98</v>
      </c>
      <c r="Q29" s="319"/>
      <c r="R29" s="499">
        <v>19382.400000000001</v>
      </c>
      <c r="S29" s="319"/>
      <c r="T29" s="499">
        <v>23568.19</v>
      </c>
      <c r="U29" s="319"/>
      <c r="V29" s="499">
        <v>17104.57</v>
      </c>
      <c r="W29" s="319"/>
      <c r="X29" s="499">
        <v>18832.400000000001</v>
      </c>
      <c r="Y29" s="319"/>
      <c r="Z29" s="499">
        <v>19201.39</v>
      </c>
      <c r="AA29" s="319"/>
      <c r="AB29" s="499">
        <v>17980.95</v>
      </c>
      <c r="AC29" s="319"/>
      <c r="AD29" s="499">
        <v>21893.21</v>
      </c>
      <c r="AE29" s="319"/>
      <c r="AF29" s="499">
        <v>253948.38</v>
      </c>
    </row>
    <row r="30" spans="1:32" x14ac:dyDescent="0.25">
      <c r="A30" s="496"/>
      <c r="B30" s="496"/>
      <c r="C30" s="496"/>
      <c r="D30" s="496"/>
      <c r="E30" s="496" t="s">
        <v>213</v>
      </c>
      <c r="F30" s="496"/>
      <c r="G30" s="496"/>
      <c r="H30" s="499">
        <v>1386.75</v>
      </c>
      <c r="I30" s="319"/>
      <c r="J30" s="499">
        <v>1413.62</v>
      </c>
      <c r="K30" s="319"/>
      <c r="L30" s="499">
        <v>956.75</v>
      </c>
      <c r="M30" s="319"/>
      <c r="N30" s="499">
        <v>1247</v>
      </c>
      <c r="O30" s="319"/>
      <c r="P30" s="499">
        <v>1193.25</v>
      </c>
      <c r="Q30" s="319"/>
      <c r="R30" s="499">
        <v>1209.3699999999999</v>
      </c>
      <c r="S30" s="319"/>
      <c r="T30" s="499">
        <v>1634</v>
      </c>
      <c r="U30" s="319"/>
      <c r="V30" s="499">
        <v>1483.5</v>
      </c>
      <c r="W30" s="319"/>
      <c r="X30" s="499">
        <v>750</v>
      </c>
      <c r="Y30" s="319"/>
      <c r="Z30" s="499">
        <v>2098.75</v>
      </c>
      <c r="AA30" s="319"/>
      <c r="AB30" s="499">
        <v>1773.75</v>
      </c>
      <c r="AC30" s="319"/>
      <c r="AD30" s="499">
        <v>999.75</v>
      </c>
      <c r="AE30" s="319"/>
      <c r="AF30" s="499">
        <v>16146.49</v>
      </c>
    </row>
    <row r="31" spans="1:32" x14ac:dyDescent="0.25">
      <c r="A31" s="496"/>
      <c r="B31" s="496"/>
      <c r="C31" s="496"/>
      <c r="D31" s="496"/>
      <c r="E31" s="496" t="s">
        <v>215</v>
      </c>
      <c r="F31" s="496"/>
      <c r="G31" s="496"/>
      <c r="H31" s="499">
        <v>972.42</v>
      </c>
      <c r="I31" s="319"/>
      <c r="J31" s="499">
        <v>354.26</v>
      </c>
      <c r="K31" s="319"/>
      <c r="L31" s="499">
        <v>210.28</v>
      </c>
      <c r="M31" s="319"/>
      <c r="N31" s="499">
        <v>162.63</v>
      </c>
      <c r="O31" s="319"/>
      <c r="P31" s="499">
        <v>146.54</v>
      </c>
      <c r="Q31" s="319"/>
      <c r="R31" s="499">
        <v>188.09</v>
      </c>
      <c r="S31" s="319"/>
      <c r="T31" s="499">
        <v>284.73</v>
      </c>
      <c r="U31" s="319"/>
      <c r="V31" s="499">
        <v>142.91999999999999</v>
      </c>
      <c r="W31" s="319"/>
      <c r="X31" s="499">
        <v>261.8</v>
      </c>
      <c r="Y31" s="319"/>
      <c r="Z31" s="499">
        <v>167.7</v>
      </c>
      <c r="AA31" s="319"/>
      <c r="AB31" s="499">
        <v>107.5</v>
      </c>
      <c r="AC31" s="319"/>
      <c r="AD31" s="499">
        <v>105.74</v>
      </c>
      <c r="AE31" s="319"/>
      <c r="AF31" s="499">
        <v>3104.61</v>
      </c>
    </row>
    <row r="32" spans="1:32" x14ac:dyDescent="0.25">
      <c r="A32" s="496"/>
      <c r="B32" s="496"/>
      <c r="C32" s="496"/>
      <c r="D32" s="496"/>
      <c r="E32" s="496" t="s">
        <v>216</v>
      </c>
      <c r="F32" s="496"/>
      <c r="G32" s="496"/>
      <c r="H32" s="499">
        <v>14.95</v>
      </c>
      <c r="I32" s="319"/>
      <c r="J32" s="499">
        <v>0</v>
      </c>
      <c r="K32" s="319"/>
      <c r="L32" s="499">
        <v>0</v>
      </c>
      <c r="M32" s="319"/>
      <c r="N32" s="499">
        <v>0</v>
      </c>
      <c r="O32" s="319"/>
      <c r="P32" s="499">
        <v>0</v>
      </c>
      <c r="Q32" s="319"/>
      <c r="R32" s="499">
        <v>0</v>
      </c>
      <c r="S32" s="319"/>
      <c r="T32" s="499">
        <v>87.58</v>
      </c>
      <c r="U32" s="319"/>
      <c r="V32" s="499">
        <v>0</v>
      </c>
      <c r="W32" s="319"/>
      <c r="X32" s="499">
        <v>0</v>
      </c>
      <c r="Y32" s="319"/>
      <c r="Z32" s="499">
        <v>0</v>
      </c>
      <c r="AA32" s="319"/>
      <c r="AB32" s="499">
        <v>0</v>
      </c>
      <c r="AC32" s="319"/>
      <c r="AD32" s="499">
        <v>186.34</v>
      </c>
      <c r="AE32" s="319"/>
      <c r="AF32" s="499">
        <v>288.87</v>
      </c>
    </row>
    <row r="33" spans="1:32" x14ac:dyDescent="0.25">
      <c r="A33" s="496"/>
      <c r="B33" s="496"/>
      <c r="C33" s="496"/>
      <c r="D33" s="496"/>
      <c r="E33" s="496" t="s">
        <v>183</v>
      </c>
      <c r="F33" s="496"/>
      <c r="G33" s="496"/>
      <c r="H33" s="499">
        <v>138.13999999999999</v>
      </c>
      <c r="I33" s="319"/>
      <c r="J33" s="499">
        <v>105.31</v>
      </c>
      <c r="K33" s="319"/>
      <c r="L33" s="499">
        <v>36.78</v>
      </c>
      <c r="M33" s="319"/>
      <c r="N33" s="499">
        <v>102.14</v>
      </c>
      <c r="O33" s="319"/>
      <c r="P33" s="499">
        <v>385</v>
      </c>
      <c r="Q33" s="319"/>
      <c r="R33" s="499">
        <v>22.52</v>
      </c>
      <c r="S33" s="319"/>
      <c r="T33" s="499">
        <v>385.45</v>
      </c>
      <c r="U33" s="319"/>
      <c r="V33" s="499">
        <v>321.36</v>
      </c>
      <c r="W33" s="319"/>
      <c r="X33" s="499">
        <v>1240.54</v>
      </c>
      <c r="Y33" s="319"/>
      <c r="Z33" s="499">
        <v>173.19</v>
      </c>
      <c r="AA33" s="319"/>
      <c r="AB33" s="499">
        <v>166.03</v>
      </c>
      <c r="AC33" s="319"/>
      <c r="AD33" s="499">
        <v>824.1</v>
      </c>
      <c r="AE33" s="319"/>
      <c r="AF33" s="499">
        <v>3900.56</v>
      </c>
    </row>
    <row r="34" spans="1:32" x14ac:dyDescent="0.25">
      <c r="A34" s="496"/>
      <c r="B34" s="496"/>
      <c r="C34" s="496"/>
      <c r="D34" s="496"/>
      <c r="E34" s="496" t="s">
        <v>184</v>
      </c>
      <c r="F34" s="496"/>
      <c r="G34" s="496"/>
      <c r="H34" s="499">
        <v>1231.72</v>
      </c>
      <c r="I34" s="319"/>
      <c r="J34" s="499">
        <v>363.3</v>
      </c>
      <c r="K34" s="319"/>
      <c r="L34" s="499">
        <v>362.51</v>
      </c>
      <c r="M34" s="319"/>
      <c r="N34" s="499">
        <v>364.16</v>
      </c>
      <c r="O34" s="319"/>
      <c r="P34" s="499">
        <v>362.55</v>
      </c>
      <c r="Q34" s="319"/>
      <c r="R34" s="499">
        <v>363.26</v>
      </c>
      <c r="S34" s="319"/>
      <c r="T34" s="499">
        <v>456.6</v>
      </c>
      <c r="U34" s="319"/>
      <c r="V34" s="499">
        <v>328.75</v>
      </c>
      <c r="W34" s="319"/>
      <c r="X34" s="499">
        <v>328.8</v>
      </c>
      <c r="Y34" s="319"/>
      <c r="Z34" s="499">
        <v>445</v>
      </c>
      <c r="AA34" s="319"/>
      <c r="AB34" s="499">
        <v>329.79</v>
      </c>
      <c r="AC34" s="319"/>
      <c r="AD34" s="499">
        <v>330.98</v>
      </c>
      <c r="AE34" s="319"/>
      <c r="AF34" s="499">
        <v>5267.42</v>
      </c>
    </row>
    <row r="35" spans="1:32" x14ac:dyDescent="0.25">
      <c r="A35" s="496"/>
      <c r="B35" s="496"/>
      <c r="C35" s="496"/>
      <c r="D35" s="496"/>
      <c r="E35" s="496" t="s">
        <v>185</v>
      </c>
      <c r="F35" s="496"/>
      <c r="G35" s="496"/>
      <c r="H35" s="499">
        <v>167.55</v>
      </c>
      <c r="I35" s="319"/>
      <c r="J35" s="499">
        <v>140.97</v>
      </c>
      <c r="K35" s="319"/>
      <c r="L35" s="499">
        <v>313.92</v>
      </c>
      <c r="M35" s="319"/>
      <c r="N35" s="499">
        <v>109.17</v>
      </c>
      <c r="O35" s="319"/>
      <c r="P35" s="499">
        <v>0</v>
      </c>
      <c r="Q35" s="319"/>
      <c r="R35" s="499">
        <v>0</v>
      </c>
      <c r="S35" s="319"/>
      <c r="T35" s="499">
        <v>370.79</v>
      </c>
      <c r="U35" s="319"/>
      <c r="V35" s="499">
        <v>0</v>
      </c>
      <c r="W35" s="319"/>
      <c r="X35" s="499">
        <v>96.05</v>
      </c>
      <c r="Y35" s="319"/>
      <c r="Z35" s="499">
        <v>204.54</v>
      </c>
      <c r="AA35" s="319"/>
      <c r="AB35" s="499">
        <v>96.05</v>
      </c>
      <c r="AC35" s="319"/>
      <c r="AD35" s="499">
        <v>208.25</v>
      </c>
      <c r="AE35" s="319"/>
      <c r="AF35" s="499">
        <v>1707.29</v>
      </c>
    </row>
    <row r="36" spans="1:32" x14ac:dyDescent="0.25">
      <c r="A36" s="496"/>
      <c r="B36" s="496"/>
      <c r="C36" s="496"/>
      <c r="D36" s="496"/>
      <c r="E36" s="496" t="s">
        <v>186</v>
      </c>
      <c r="F36" s="496"/>
      <c r="G36" s="496"/>
      <c r="H36" s="499">
        <v>1279.9000000000001</v>
      </c>
      <c r="I36" s="319"/>
      <c r="J36" s="499">
        <v>1621.27</v>
      </c>
      <c r="K36" s="319"/>
      <c r="L36" s="499">
        <v>1365.24</v>
      </c>
      <c r="M36" s="319"/>
      <c r="N36" s="499">
        <v>1365.24</v>
      </c>
      <c r="O36" s="319"/>
      <c r="P36" s="499">
        <v>1365.24</v>
      </c>
      <c r="Q36" s="319"/>
      <c r="R36" s="499">
        <v>1365.24</v>
      </c>
      <c r="S36" s="319"/>
      <c r="T36" s="499">
        <v>1365.24</v>
      </c>
      <c r="U36" s="319"/>
      <c r="V36" s="499">
        <v>1263.8499999999999</v>
      </c>
      <c r="W36" s="319"/>
      <c r="X36" s="499">
        <v>1263.8499999999999</v>
      </c>
      <c r="Y36" s="319"/>
      <c r="Z36" s="499">
        <v>1210.8699999999999</v>
      </c>
      <c r="AA36" s="319"/>
      <c r="AB36" s="499">
        <v>1210.8699999999999</v>
      </c>
      <c r="AC36" s="319"/>
      <c r="AD36" s="499">
        <v>1210.8699999999999</v>
      </c>
      <c r="AE36" s="319"/>
      <c r="AF36" s="499">
        <v>15887.68</v>
      </c>
    </row>
    <row r="37" spans="1:32" x14ac:dyDescent="0.25">
      <c r="A37" s="496"/>
      <c r="B37" s="496"/>
      <c r="C37" s="496"/>
      <c r="D37" s="496"/>
      <c r="E37" s="496" t="s">
        <v>187</v>
      </c>
      <c r="F37" s="496"/>
      <c r="G37" s="496"/>
      <c r="H37" s="499">
        <v>244.1</v>
      </c>
      <c r="I37" s="319"/>
      <c r="J37" s="499">
        <v>244.1</v>
      </c>
      <c r="K37" s="319"/>
      <c r="L37" s="499">
        <v>244.1</v>
      </c>
      <c r="M37" s="319"/>
      <c r="N37" s="499">
        <v>244.1</v>
      </c>
      <c r="O37" s="319"/>
      <c r="P37" s="499">
        <v>244.1</v>
      </c>
      <c r="Q37" s="319"/>
      <c r="R37" s="499">
        <v>245.18</v>
      </c>
      <c r="S37" s="319"/>
      <c r="T37" s="499">
        <v>331.77</v>
      </c>
      <c r="U37" s="319"/>
      <c r="V37" s="499">
        <v>218.3</v>
      </c>
      <c r="W37" s="319"/>
      <c r="X37" s="499">
        <v>218.3</v>
      </c>
      <c r="Y37" s="319"/>
      <c r="Z37" s="499">
        <v>258.3</v>
      </c>
      <c r="AA37" s="319"/>
      <c r="AB37" s="499">
        <v>258.3</v>
      </c>
      <c r="AC37" s="319"/>
      <c r="AD37" s="499">
        <v>258.3</v>
      </c>
      <c r="AE37" s="319"/>
      <c r="AF37" s="499">
        <v>3008.95</v>
      </c>
    </row>
    <row r="38" spans="1:32" x14ac:dyDescent="0.25">
      <c r="A38" s="496"/>
      <c r="B38" s="496"/>
      <c r="C38" s="496"/>
      <c r="D38" s="496"/>
      <c r="E38" s="496" t="s">
        <v>217</v>
      </c>
      <c r="F38" s="496"/>
      <c r="G38" s="496"/>
      <c r="H38" s="499">
        <v>21.39</v>
      </c>
      <c r="I38" s="319"/>
      <c r="J38" s="499">
        <v>110.35</v>
      </c>
      <c r="K38" s="319"/>
      <c r="L38" s="499">
        <v>0</v>
      </c>
      <c r="M38" s="319"/>
      <c r="N38" s="499">
        <v>1230.42</v>
      </c>
      <c r="O38" s="319"/>
      <c r="P38" s="499">
        <v>113.17</v>
      </c>
      <c r="Q38" s="319"/>
      <c r="R38" s="499">
        <v>0</v>
      </c>
      <c r="S38" s="319"/>
      <c r="T38" s="499">
        <v>880.6</v>
      </c>
      <c r="U38" s="319"/>
      <c r="V38" s="499">
        <v>100.87</v>
      </c>
      <c r="W38" s="319"/>
      <c r="X38" s="499">
        <v>66.23</v>
      </c>
      <c r="Y38" s="319"/>
      <c r="Z38" s="499">
        <v>133.77000000000001</v>
      </c>
      <c r="AA38" s="319"/>
      <c r="AB38" s="499">
        <v>97.88</v>
      </c>
      <c r="AC38" s="319"/>
      <c r="AD38" s="499">
        <v>13.61</v>
      </c>
      <c r="AE38" s="319"/>
      <c r="AF38" s="499">
        <v>2768.29</v>
      </c>
    </row>
    <row r="39" spans="1:32" x14ac:dyDescent="0.25">
      <c r="A39" s="496"/>
      <c r="B39" s="496"/>
      <c r="C39" s="496"/>
      <c r="D39" s="496"/>
      <c r="E39" s="496" t="s">
        <v>218</v>
      </c>
      <c r="F39" s="496"/>
      <c r="G39" s="496"/>
      <c r="H39" s="499">
        <v>3415.81</v>
      </c>
      <c r="I39" s="319"/>
      <c r="J39" s="499">
        <v>135.04</v>
      </c>
      <c r="K39" s="319"/>
      <c r="L39" s="499">
        <v>271.58</v>
      </c>
      <c r="M39" s="319"/>
      <c r="N39" s="499">
        <v>1928.1</v>
      </c>
      <c r="O39" s="319"/>
      <c r="P39" s="499">
        <v>81.7</v>
      </c>
      <c r="Q39" s="319"/>
      <c r="R39" s="499">
        <v>792.05</v>
      </c>
      <c r="S39" s="319"/>
      <c r="T39" s="499">
        <v>2052.4699999999998</v>
      </c>
      <c r="U39" s="319"/>
      <c r="V39" s="499">
        <v>644.33000000000004</v>
      </c>
      <c r="W39" s="319"/>
      <c r="X39" s="499">
        <v>3509.61</v>
      </c>
      <c r="Y39" s="319"/>
      <c r="Z39" s="499">
        <v>1870.83</v>
      </c>
      <c r="AA39" s="319"/>
      <c r="AB39" s="499">
        <v>2426.2600000000002</v>
      </c>
      <c r="AC39" s="319"/>
      <c r="AD39" s="499">
        <v>797.97</v>
      </c>
      <c r="AE39" s="319"/>
      <c r="AF39" s="499">
        <v>17925.75</v>
      </c>
    </row>
    <row r="40" spans="1:32" x14ac:dyDescent="0.25">
      <c r="A40" s="496"/>
      <c r="B40" s="496"/>
      <c r="C40" s="496"/>
      <c r="D40" s="496"/>
      <c r="E40" s="496" t="s">
        <v>192</v>
      </c>
      <c r="F40" s="496"/>
      <c r="G40" s="496"/>
      <c r="H40" s="499">
        <v>508.26</v>
      </c>
      <c r="I40" s="319"/>
      <c r="J40" s="499">
        <v>1446.61</v>
      </c>
      <c r="K40" s="319"/>
      <c r="L40" s="499">
        <v>725.18</v>
      </c>
      <c r="M40" s="319"/>
      <c r="N40" s="499">
        <v>711.61</v>
      </c>
      <c r="O40" s="319"/>
      <c r="P40" s="499">
        <v>711.61</v>
      </c>
      <c r="Q40" s="319"/>
      <c r="R40" s="499">
        <v>711.61</v>
      </c>
      <c r="S40" s="319"/>
      <c r="T40" s="499">
        <v>595.1</v>
      </c>
      <c r="U40" s="319"/>
      <c r="V40" s="499">
        <v>711.58</v>
      </c>
      <c r="W40" s="319"/>
      <c r="X40" s="499">
        <v>711.58</v>
      </c>
      <c r="Y40" s="319"/>
      <c r="Z40" s="499">
        <v>711.58</v>
      </c>
      <c r="AA40" s="319"/>
      <c r="AB40" s="499">
        <v>711.58</v>
      </c>
      <c r="AC40" s="319"/>
      <c r="AD40" s="499">
        <v>711.58</v>
      </c>
      <c r="AE40" s="319"/>
      <c r="AF40" s="499">
        <v>8967.8799999999992</v>
      </c>
    </row>
    <row r="41" spans="1:32" x14ac:dyDescent="0.25">
      <c r="A41" s="496"/>
      <c r="B41" s="496"/>
      <c r="C41" s="496"/>
      <c r="D41" s="496"/>
      <c r="E41" s="496" t="s">
        <v>194</v>
      </c>
      <c r="F41" s="496"/>
      <c r="G41" s="496"/>
      <c r="H41" s="499">
        <v>932.11</v>
      </c>
      <c r="I41" s="319"/>
      <c r="J41" s="499">
        <v>1029.4100000000001</v>
      </c>
      <c r="K41" s="319"/>
      <c r="L41" s="499">
        <v>946.36</v>
      </c>
      <c r="M41" s="319"/>
      <c r="N41" s="499">
        <v>1411.86</v>
      </c>
      <c r="O41" s="319"/>
      <c r="P41" s="499">
        <v>1022.1</v>
      </c>
      <c r="Q41" s="319"/>
      <c r="R41" s="499">
        <v>1249.17</v>
      </c>
      <c r="S41" s="319"/>
      <c r="T41" s="499">
        <v>128.5</v>
      </c>
      <c r="U41" s="319"/>
      <c r="V41" s="499">
        <v>803.6</v>
      </c>
      <c r="W41" s="319"/>
      <c r="X41" s="499">
        <v>870.19</v>
      </c>
      <c r="Y41" s="319"/>
      <c r="Z41" s="499">
        <v>844.33</v>
      </c>
      <c r="AA41" s="319"/>
      <c r="AB41" s="499">
        <v>1742.03</v>
      </c>
      <c r="AC41" s="319"/>
      <c r="AD41" s="499">
        <v>821.17</v>
      </c>
      <c r="AE41" s="319"/>
      <c r="AF41" s="499">
        <v>11800.83</v>
      </c>
    </row>
    <row r="42" spans="1:32" x14ac:dyDescent="0.25">
      <c r="A42" s="496"/>
      <c r="B42" s="496"/>
      <c r="C42" s="496"/>
      <c r="D42" s="496"/>
      <c r="E42" s="496" t="s">
        <v>195</v>
      </c>
      <c r="F42" s="496"/>
      <c r="G42" s="496"/>
      <c r="H42" s="499">
        <v>1454.54</v>
      </c>
      <c r="I42" s="319"/>
      <c r="J42" s="499">
        <v>1052.82</v>
      </c>
      <c r="K42" s="319"/>
      <c r="L42" s="499">
        <v>978.19</v>
      </c>
      <c r="M42" s="319"/>
      <c r="N42" s="499">
        <v>1636.44</v>
      </c>
      <c r="O42" s="319"/>
      <c r="P42" s="499">
        <v>1260.9000000000001</v>
      </c>
      <c r="Q42" s="319"/>
      <c r="R42" s="499">
        <v>2437.39</v>
      </c>
      <c r="S42" s="319"/>
      <c r="T42" s="499">
        <v>8676.17</v>
      </c>
      <c r="U42" s="319"/>
      <c r="V42" s="499">
        <v>10592.73</v>
      </c>
      <c r="W42" s="319"/>
      <c r="X42" s="499">
        <v>12327.47</v>
      </c>
      <c r="Y42" s="319"/>
      <c r="Z42" s="499">
        <v>11666.71</v>
      </c>
      <c r="AA42" s="319"/>
      <c r="AB42" s="499">
        <v>12118.58</v>
      </c>
      <c r="AC42" s="319"/>
      <c r="AD42" s="499">
        <v>7668.21</v>
      </c>
      <c r="AE42" s="319"/>
      <c r="AF42" s="499">
        <v>71870.149999999994</v>
      </c>
    </row>
    <row r="43" spans="1:32" x14ac:dyDescent="0.25">
      <c r="A43" s="496"/>
      <c r="B43" s="496"/>
      <c r="C43" s="496"/>
      <c r="D43" s="496" t="s">
        <v>116</v>
      </c>
      <c r="E43" s="496"/>
      <c r="F43" s="496"/>
      <c r="G43" s="496"/>
      <c r="H43" s="499">
        <v>35257.06</v>
      </c>
      <c r="I43" s="319"/>
      <c r="J43" s="499">
        <v>32579.69</v>
      </c>
      <c r="K43" s="319"/>
      <c r="L43" s="499">
        <v>29150.68</v>
      </c>
      <c r="M43" s="319"/>
      <c r="N43" s="499">
        <v>33258.32</v>
      </c>
      <c r="O43" s="319"/>
      <c r="P43" s="499">
        <v>29334.14</v>
      </c>
      <c r="Q43" s="319"/>
      <c r="R43" s="499">
        <v>27966.28</v>
      </c>
      <c r="S43" s="319"/>
      <c r="T43" s="499">
        <v>40817.19</v>
      </c>
      <c r="U43" s="319"/>
      <c r="V43" s="499">
        <v>33716.36</v>
      </c>
      <c r="W43" s="319"/>
      <c r="X43" s="499">
        <v>40476.82</v>
      </c>
      <c r="Y43" s="319"/>
      <c r="Z43" s="499">
        <v>38986.959999999999</v>
      </c>
      <c r="AA43" s="319"/>
      <c r="AB43" s="499">
        <v>39019.57</v>
      </c>
      <c r="AC43" s="319"/>
      <c r="AD43" s="499">
        <v>36030.080000000002</v>
      </c>
      <c r="AE43" s="319"/>
      <c r="AF43" s="499">
        <v>416593.15</v>
      </c>
    </row>
    <row r="44" spans="1:32" ht="15.75" thickBot="1" x14ac:dyDescent="0.3">
      <c r="A44" s="496"/>
      <c r="B44" s="496" t="s">
        <v>196</v>
      </c>
      <c r="C44" s="496"/>
      <c r="D44" s="496"/>
      <c r="E44" s="496"/>
      <c r="F44" s="496"/>
      <c r="G44" s="496"/>
      <c r="H44" s="497">
        <v>38060.21</v>
      </c>
      <c r="I44" s="319"/>
      <c r="J44" s="497">
        <v>-26654.33</v>
      </c>
      <c r="K44" s="319"/>
      <c r="L44" s="497">
        <v>-4348.57</v>
      </c>
      <c r="M44" s="319"/>
      <c r="N44" s="497">
        <v>47994.98</v>
      </c>
      <c r="O44" s="319"/>
      <c r="P44" s="497">
        <v>-24541.32</v>
      </c>
      <c r="Q44" s="319"/>
      <c r="R44" s="497">
        <v>989.72</v>
      </c>
      <c r="S44" s="319"/>
      <c r="T44" s="497">
        <v>-19212.14</v>
      </c>
      <c r="U44" s="319"/>
      <c r="V44" s="497">
        <v>-20098.919999999998</v>
      </c>
      <c r="W44" s="319"/>
      <c r="X44" s="497">
        <v>-31858.07</v>
      </c>
      <c r="Y44" s="319"/>
      <c r="Z44" s="497">
        <v>-20749.18</v>
      </c>
      <c r="AA44" s="319"/>
      <c r="AB44" s="497">
        <v>-31734.69</v>
      </c>
      <c r="AC44" s="319"/>
      <c r="AD44" s="497">
        <v>-23411.78</v>
      </c>
      <c r="AE44" s="319"/>
      <c r="AF44" s="497">
        <v>-115564.09</v>
      </c>
    </row>
    <row r="45" spans="1:32" ht="15.75" thickBot="1" x14ac:dyDescent="0.3">
      <c r="A45" s="496"/>
      <c r="B45" s="496" t="s">
        <v>424</v>
      </c>
      <c r="C45" s="496"/>
      <c r="D45" s="496"/>
      <c r="E45" s="496"/>
      <c r="F45" s="496"/>
      <c r="G45" s="496"/>
      <c r="H45" s="321">
        <v>0</v>
      </c>
      <c r="I45" s="319"/>
      <c r="J45" s="321">
        <v>0</v>
      </c>
      <c r="K45" s="319"/>
      <c r="L45" s="321">
        <v>0</v>
      </c>
      <c r="M45" s="319"/>
      <c r="N45" s="321">
        <v>0</v>
      </c>
      <c r="O45" s="319"/>
      <c r="P45" s="321">
        <v>0</v>
      </c>
      <c r="Q45" s="319"/>
      <c r="R45" s="321">
        <v>0</v>
      </c>
      <c r="S45" s="319"/>
      <c r="T45" s="321">
        <v>15733.62</v>
      </c>
      <c r="U45" s="319"/>
      <c r="V45" s="321">
        <v>0</v>
      </c>
      <c r="W45" s="319"/>
      <c r="X45" s="321">
        <v>0</v>
      </c>
      <c r="Y45" s="319"/>
      <c r="Z45" s="321">
        <v>0</v>
      </c>
      <c r="AA45" s="319"/>
      <c r="AB45" s="321">
        <v>0</v>
      </c>
      <c r="AC45" s="319"/>
      <c r="AD45" s="321">
        <v>0</v>
      </c>
      <c r="AE45" s="319"/>
      <c r="AF45" s="321">
        <v>15733.62</v>
      </c>
    </row>
    <row r="46" spans="1:32" x14ac:dyDescent="0.25">
      <c r="A46" s="496" t="s">
        <v>197</v>
      </c>
      <c r="B46" s="496"/>
      <c r="C46" s="496"/>
      <c r="D46" s="496"/>
      <c r="E46" s="496"/>
      <c r="F46" s="496"/>
      <c r="G46" s="496"/>
      <c r="H46" s="499">
        <v>38060.21</v>
      </c>
      <c r="I46" s="319"/>
      <c r="J46" s="499">
        <v>-26654.33</v>
      </c>
      <c r="K46" s="319"/>
      <c r="L46" s="499">
        <v>-4348.57</v>
      </c>
      <c r="M46" s="319"/>
      <c r="N46" s="499">
        <v>47994.98</v>
      </c>
      <c r="O46" s="319"/>
      <c r="P46" s="499">
        <v>-24541.32</v>
      </c>
      <c r="Q46" s="319"/>
      <c r="R46" s="499">
        <v>989.72</v>
      </c>
      <c r="S46" s="319"/>
      <c r="T46" s="499">
        <v>-3478.52</v>
      </c>
      <c r="U46" s="319"/>
      <c r="V46" s="499">
        <v>-20098.919999999998</v>
      </c>
      <c r="W46" s="319"/>
      <c r="X46" s="499">
        <v>-31858.07</v>
      </c>
      <c r="Y46" s="319"/>
      <c r="Z46" s="499">
        <v>-20749.18</v>
      </c>
      <c r="AA46" s="319"/>
      <c r="AB46" s="499">
        <v>-31734.69</v>
      </c>
      <c r="AC46" s="319"/>
      <c r="AD46" s="499">
        <v>-23411.78</v>
      </c>
      <c r="AE46" s="319"/>
      <c r="AF46" s="499">
        <v>-99830.47</v>
      </c>
    </row>
  </sheetData>
  <pageMargins left="0.2" right="0.2" top="1" bottom="0.75" header="0.1" footer="0.3"/>
  <pageSetup scale="90" orientation="portrait" r:id="rId1"/>
  <headerFooter>
    <oddHeader>&amp;L&amp;"Arial,Bold"&amp;8 1:55 PM
 10/01/19
 Accrual Basis&amp;C&amp;"Arial,Bold"&amp;12 League of Women Voters of California Education Fund
&amp;14 Statement of Activities
&amp;10 September 2018 through August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45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457200</xdr:colOff>
                <xdr:row>1</xdr:row>
                <xdr:rowOff>28575</xdr:rowOff>
              </to>
            </anchor>
          </controlPr>
        </control>
      </mc:Choice>
      <mc:Fallback>
        <control shapeId="64513" r:id="rId4" name="FILTER"/>
      </mc:Fallback>
    </mc:AlternateContent>
    <mc:AlternateContent xmlns:mc="http://schemas.openxmlformats.org/markup-compatibility/2006">
      <mc:Choice Requires="x14">
        <control shapeId="645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457200</xdr:colOff>
                <xdr:row>1</xdr:row>
                <xdr:rowOff>28575</xdr:rowOff>
              </to>
            </anchor>
          </controlPr>
        </control>
      </mc:Choice>
      <mc:Fallback>
        <control shapeId="64514" r:id="rId6" name="HEAD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1:AF107"/>
  <sheetViews>
    <sheetView workbookViewId="0">
      <pane xSplit="7" ySplit="1" topLeftCell="R78" activePane="bottomRight" state="frozenSplit"/>
      <selection pane="topRight" activeCell="H1" sqref="H1"/>
      <selection pane="bottomLeft" activeCell="A2" sqref="A2"/>
      <selection pane="bottomRight" activeCell="AD94" sqref="AD94"/>
    </sheetView>
  </sheetViews>
  <sheetFormatPr defaultRowHeight="15" x14ac:dyDescent="0.25"/>
  <cols>
    <col min="1" max="6" width="3" style="325" customWidth="1"/>
    <col min="7" max="7" width="27.7109375" style="325" customWidth="1"/>
    <col min="8" max="8" width="9.28515625" style="326" bestFit="1" customWidth="1"/>
    <col min="9" max="9" width="2.28515625" style="326" customWidth="1"/>
    <col min="10" max="10" width="10" style="326" customWidth="1"/>
    <col min="11" max="11" width="2.28515625" style="326" customWidth="1"/>
    <col min="12" max="12" width="10.42578125" style="326" customWidth="1"/>
    <col min="13" max="13" width="2.28515625" style="326" customWidth="1"/>
    <col min="14" max="14" width="9.7109375" style="326" customWidth="1"/>
    <col min="15" max="15" width="2.28515625" style="326" customWidth="1"/>
    <col min="16" max="16" width="9.28515625" style="326" bestFit="1" customWidth="1"/>
    <col min="17" max="17" width="2.28515625" style="326" customWidth="1"/>
    <col min="18" max="18" width="9.28515625" style="326" bestFit="1" customWidth="1"/>
    <col min="19" max="19" width="2.28515625" style="326" customWidth="1"/>
    <col min="20" max="20" width="10.42578125" style="326" customWidth="1"/>
    <col min="21" max="21" width="2.28515625" style="326" customWidth="1"/>
    <col min="22" max="22" width="10" style="326" customWidth="1"/>
    <col min="23" max="23" width="2.28515625" style="326" customWidth="1"/>
    <col min="24" max="24" width="10.140625" style="326" customWidth="1"/>
    <col min="25" max="25" width="2.28515625" style="326" customWidth="1"/>
    <col min="26" max="26" width="9.28515625" style="326" bestFit="1" customWidth="1"/>
    <col min="27" max="27" width="2.28515625" style="326" customWidth="1"/>
    <col min="28" max="28" width="9.28515625" style="326" bestFit="1" customWidth="1"/>
    <col min="29" max="29" width="2.28515625" style="326" customWidth="1"/>
    <col min="30" max="30" width="9.28515625" style="326" bestFit="1" customWidth="1"/>
    <col min="31" max="31" width="9.85546875" bestFit="1" customWidth="1"/>
  </cols>
  <sheetData>
    <row r="1" spans="1:30" s="318" customFormat="1" ht="15.75" thickBot="1" x14ac:dyDescent="0.3">
      <c r="A1" s="493"/>
      <c r="B1" s="493"/>
      <c r="C1" s="493"/>
      <c r="D1" s="493"/>
      <c r="E1" s="493"/>
      <c r="F1" s="493"/>
      <c r="G1" s="493"/>
      <c r="H1" s="355" t="s">
        <v>397</v>
      </c>
      <c r="I1" s="317"/>
      <c r="J1" s="355" t="s">
        <v>401</v>
      </c>
      <c r="K1" s="317"/>
      <c r="L1" s="355" t="s">
        <v>405</v>
      </c>
      <c r="M1" s="317"/>
      <c r="N1" s="355" t="s">
        <v>406</v>
      </c>
      <c r="O1" s="317"/>
      <c r="P1" s="355" t="s">
        <v>407</v>
      </c>
      <c r="Q1" s="317"/>
      <c r="R1" s="355" t="s">
        <v>413</v>
      </c>
      <c r="S1" s="317"/>
      <c r="T1" s="355" t="s">
        <v>417</v>
      </c>
      <c r="U1" s="317"/>
      <c r="V1" s="355" t="s">
        <v>433</v>
      </c>
      <c r="W1" s="317"/>
      <c r="X1" s="355" t="s">
        <v>434</v>
      </c>
      <c r="Y1" s="317"/>
      <c r="Z1" s="355" t="s">
        <v>465</v>
      </c>
      <c r="AA1" s="317"/>
      <c r="AB1" s="355" t="s">
        <v>481</v>
      </c>
      <c r="AC1" s="317"/>
      <c r="AD1" s="355" t="s">
        <v>482</v>
      </c>
    </row>
    <row r="2" spans="1:30" ht="15.75" thickTop="1" x14ac:dyDescent="0.25">
      <c r="A2" s="531" t="s">
        <v>257</v>
      </c>
      <c r="B2" s="531"/>
      <c r="C2" s="531"/>
      <c r="D2" s="531"/>
      <c r="E2" s="531"/>
      <c r="F2" s="531"/>
      <c r="G2" s="531"/>
      <c r="H2" s="499"/>
      <c r="I2" s="319"/>
      <c r="J2" s="499"/>
      <c r="K2" s="319"/>
      <c r="L2" s="499"/>
      <c r="M2" s="319"/>
      <c r="N2" s="499"/>
      <c r="O2" s="319"/>
      <c r="P2" s="499"/>
      <c r="Q2" s="319"/>
      <c r="R2" s="499"/>
      <c r="S2" s="319"/>
      <c r="T2" s="499"/>
      <c r="U2" s="319"/>
      <c r="V2" s="499"/>
      <c r="W2" s="319"/>
      <c r="X2" s="499"/>
      <c r="Y2" s="319"/>
      <c r="Z2" s="499"/>
      <c r="AA2" s="319"/>
      <c r="AB2" s="499"/>
      <c r="AC2" s="319"/>
      <c r="AD2" s="499"/>
    </row>
    <row r="3" spans="1:30" x14ac:dyDescent="0.25">
      <c r="A3" s="531"/>
      <c r="B3" s="531" t="s">
        <v>258</v>
      </c>
      <c r="C3" s="531"/>
      <c r="D3" s="531"/>
      <c r="E3" s="531"/>
      <c r="F3" s="531"/>
      <c r="G3" s="531"/>
      <c r="H3" s="499"/>
      <c r="I3" s="319"/>
      <c r="J3" s="499"/>
      <c r="K3" s="319"/>
      <c r="L3" s="499"/>
      <c r="M3" s="319"/>
      <c r="N3" s="499"/>
      <c r="O3" s="319"/>
      <c r="P3" s="499"/>
      <c r="Q3" s="319"/>
      <c r="R3" s="499"/>
      <c r="S3" s="319"/>
      <c r="T3" s="499"/>
      <c r="U3" s="319"/>
      <c r="V3" s="499"/>
      <c r="W3" s="319"/>
      <c r="X3" s="499"/>
      <c r="Y3" s="319"/>
      <c r="Z3" s="499"/>
      <c r="AA3" s="319"/>
      <c r="AB3" s="499"/>
      <c r="AC3" s="319"/>
      <c r="AD3" s="499"/>
    </row>
    <row r="4" spans="1:30" x14ac:dyDescent="0.25">
      <c r="A4" s="531"/>
      <c r="B4" s="531"/>
      <c r="C4" s="531" t="s">
        <v>259</v>
      </c>
      <c r="D4" s="531"/>
      <c r="E4" s="531"/>
      <c r="F4" s="531"/>
      <c r="G4" s="531"/>
      <c r="H4" s="499"/>
      <c r="I4" s="319"/>
      <c r="J4" s="499"/>
      <c r="K4" s="319"/>
      <c r="L4" s="499"/>
      <c r="M4" s="319"/>
      <c r="N4" s="499"/>
      <c r="O4" s="319"/>
      <c r="P4" s="499"/>
      <c r="Q4" s="319"/>
      <c r="R4" s="499"/>
      <c r="S4" s="319"/>
      <c r="T4" s="499"/>
      <c r="U4" s="319"/>
      <c r="V4" s="499"/>
      <c r="W4" s="319"/>
      <c r="X4" s="499"/>
      <c r="Y4" s="319"/>
      <c r="Z4" s="499"/>
      <c r="AA4" s="319"/>
      <c r="AB4" s="499"/>
      <c r="AC4" s="319"/>
      <c r="AD4" s="499"/>
    </row>
    <row r="5" spans="1:30" x14ac:dyDescent="0.25">
      <c r="A5" s="531"/>
      <c r="B5" s="531"/>
      <c r="C5" s="531"/>
      <c r="D5" s="531" t="s">
        <v>483</v>
      </c>
      <c r="E5" s="531"/>
      <c r="F5" s="531"/>
      <c r="G5" s="531"/>
      <c r="H5" s="499"/>
      <c r="I5" s="319"/>
      <c r="J5" s="499"/>
      <c r="K5" s="319"/>
      <c r="L5" s="499"/>
      <c r="M5" s="319"/>
      <c r="N5" s="499"/>
      <c r="O5" s="319"/>
      <c r="P5" s="499"/>
      <c r="Q5" s="319"/>
      <c r="R5" s="499"/>
      <c r="S5" s="319"/>
      <c r="T5" s="499"/>
      <c r="U5" s="319"/>
      <c r="V5" s="499"/>
      <c r="W5" s="319"/>
      <c r="X5" s="499"/>
      <c r="Y5" s="319"/>
      <c r="Z5" s="499"/>
      <c r="AA5" s="319"/>
      <c r="AB5" s="499"/>
      <c r="AC5" s="319"/>
      <c r="AD5" s="499"/>
    </row>
    <row r="6" spans="1:30" ht="15.75" thickBot="1" x14ac:dyDescent="0.3">
      <c r="A6" s="531"/>
      <c r="B6" s="531"/>
      <c r="C6" s="531"/>
      <c r="D6" s="531"/>
      <c r="E6" s="531" t="s">
        <v>484</v>
      </c>
      <c r="F6" s="531"/>
      <c r="G6" s="531"/>
      <c r="H6" s="320">
        <v>339065.59</v>
      </c>
      <c r="I6" s="319"/>
      <c r="J6" s="320">
        <v>382694.49</v>
      </c>
      <c r="K6" s="319"/>
      <c r="L6" s="320">
        <v>389866.3</v>
      </c>
      <c r="M6" s="319"/>
      <c r="N6" s="320">
        <v>257636.49</v>
      </c>
      <c r="O6" s="319"/>
      <c r="P6" s="320">
        <v>254057.79</v>
      </c>
      <c r="Q6" s="319"/>
      <c r="R6" s="320">
        <v>218397.09</v>
      </c>
      <c r="S6" s="319"/>
      <c r="T6" s="320">
        <v>230102.77</v>
      </c>
      <c r="U6" s="319"/>
      <c r="V6" s="320">
        <v>186714.37</v>
      </c>
      <c r="W6" s="319"/>
      <c r="X6" s="320">
        <v>203900.85</v>
      </c>
      <c r="Y6" s="319"/>
      <c r="Z6" s="320">
        <v>204123.85</v>
      </c>
      <c r="AA6" s="319"/>
      <c r="AB6" s="320">
        <v>106412.36</v>
      </c>
      <c r="AC6" s="319"/>
      <c r="AD6" s="320">
        <v>108157.96</v>
      </c>
    </row>
    <row r="7" spans="1:30" x14ac:dyDescent="0.25">
      <c r="A7" s="531"/>
      <c r="B7" s="531"/>
      <c r="C7" s="531"/>
      <c r="D7" s="531" t="s">
        <v>485</v>
      </c>
      <c r="E7" s="531"/>
      <c r="F7" s="531"/>
      <c r="G7" s="531"/>
      <c r="H7" s="499">
        <f>ROUND(SUM(H5:H6),5)</f>
        <v>339065.59</v>
      </c>
      <c r="I7" s="319"/>
      <c r="J7" s="499">
        <f>ROUND(SUM(J5:J6),5)</f>
        <v>382694.49</v>
      </c>
      <c r="K7" s="319"/>
      <c r="L7" s="499">
        <f>ROUND(SUM(L5:L6),5)</f>
        <v>389866.3</v>
      </c>
      <c r="M7" s="319"/>
      <c r="N7" s="499">
        <f>ROUND(SUM(N5:N6),5)</f>
        <v>257636.49</v>
      </c>
      <c r="O7" s="319"/>
      <c r="P7" s="499">
        <f>ROUND(SUM(P5:P6),5)</f>
        <v>254057.79</v>
      </c>
      <c r="Q7" s="319"/>
      <c r="R7" s="499">
        <f>ROUND(SUM(R5:R6),5)</f>
        <v>218397.09</v>
      </c>
      <c r="S7" s="319"/>
      <c r="T7" s="499">
        <f>ROUND(SUM(T5:T6),5)</f>
        <v>230102.77</v>
      </c>
      <c r="U7" s="319"/>
      <c r="V7" s="499">
        <f>ROUND(SUM(V5:V6),5)</f>
        <v>186714.37</v>
      </c>
      <c r="W7" s="319"/>
      <c r="X7" s="499">
        <f>ROUND(SUM(X5:X6),5)</f>
        <v>203900.85</v>
      </c>
      <c r="Y7" s="319"/>
      <c r="Z7" s="499">
        <f>ROUND(SUM(Z5:Z6),5)</f>
        <v>204123.85</v>
      </c>
      <c r="AA7" s="319"/>
      <c r="AB7" s="499">
        <f>ROUND(SUM(AB5:AB6),5)</f>
        <v>106412.36</v>
      </c>
      <c r="AC7" s="319"/>
      <c r="AD7" s="499">
        <f>ROUND(SUM(AD5:AD6),5)</f>
        <v>108157.96</v>
      </c>
    </row>
    <row r="8" spans="1:30" x14ac:dyDescent="0.25">
      <c r="A8" s="531"/>
      <c r="B8" s="531"/>
      <c r="C8" s="531"/>
      <c r="D8" s="531" t="s">
        <v>409</v>
      </c>
      <c r="E8" s="531"/>
      <c r="F8" s="531"/>
      <c r="G8" s="531"/>
      <c r="H8" s="499"/>
      <c r="I8" s="319"/>
      <c r="J8" s="499"/>
      <c r="K8" s="319"/>
      <c r="L8" s="499"/>
      <c r="M8" s="319"/>
      <c r="N8" s="499"/>
      <c r="O8" s="319"/>
      <c r="P8" s="499"/>
      <c r="Q8" s="319"/>
      <c r="R8" s="499"/>
      <c r="S8" s="319"/>
      <c r="T8" s="499"/>
      <c r="U8" s="319"/>
      <c r="V8" s="499"/>
      <c r="W8" s="319"/>
      <c r="X8" s="499"/>
      <c r="Y8" s="319"/>
      <c r="Z8" s="499"/>
      <c r="AA8" s="319"/>
      <c r="AB8" s="499"/>
      <c r="AC8" s="319"/>
      <c r="AD8" s="499"/>
    </row>
    <row r="9" spans="1:30" x14ac:dyDescent="0.25">
      <c r="A9" s="531"/>
      <c r="B9" s="531"/>
      <c r="C9" s="531"/>
      <c r="D9" s="531"/>
      <c r="E9" s="531" t="s">
        <v>486</v>
      </c>
      <c r="F9" s="531"/>
      <c r="G9" s="531"/>
      <c r="H9" s="499">
        <v>0</v>
      </c>
      <c r="I9" s="319"/>
      <c r="J9" s="499">
        <v>0</v>
      </c>
      <c r="K9" s="319"/>
      <c r="L9" s="499">
        <v>0</v>
      </c>
      <c r="M9" s="319"/>
      <c r="N9" s="499">
        <v>0</v>
      </c>
      <c r="O9" s="319"/>
      <c r="P9" s="499">
        <v>0</v>
      </c>
      <c r="Q9" s="319"/>
      <c r="R9" s="499">
        <v>0</v>
      </c>
      <c r="S9" s="319"/>
      <c r="T9" s="499">
        <v>0</v>
      </c>
      <c r="U9" s="319"/>
      <c r="V9" s="499">
        <v>80789.05</v>
      </c>
      <c r="W9" s="319"/>
      <c r="X9" s="499">
        <v>81029.149999999994</v>
      </c>
      <c r="Y9" s="319"/>
      <c r="Z9" s="499">
        <v>81147.23</v>
      </c>
      <c r="AA9" s="319"/>
      <c r="AB9" s="499">
        <v>81246.89</v>
      </c>
      <c r="AC9" s="319"/>
      <c r="AD9" s="499">
        <v>81384.320000000007</v>
      </c>
    </row>
    <row r="10" spans="1:30" x14ac:dyDescent="0.25">
      <c r="A10" s="531"/>
      <c r="B10" s="531"/>
      <c r="C10" s="531"/>
      <c r="D10" s="531"/>
      <c r="E10" s="531" t="s">
        <v>487</v>
      </c>
      <c r="F10" s="531"/>
      <c r="G10" s="531"/>
      <c r="H10" s="499">
        <v>0</v>
      </c>
      <c r="I10" s="319"/>
      <c r="J10" s="499">
        <v>0</v>
      </c>
      <c r="K10" s="319"/>
      <c r="L10" s="499">
        <v>0</v>
      </c>
      <c r="M10" s="319"/>
      <c r="N10" s="499">
        <v>0</v>
      </c>
      <c r="O10" s="319"/>
      <c r="P10" s="499">
        <v>0</v>
      </c>
      <c r="Q10" s="319"/>
      <c r="R10" s="499">
        <v>0</v>
      </c>
      <c r="S10" s="319"/>
      <c r="T10" s="499">
        <v>0</v>
      </c>
      <c r="U10" s="319"/>
      <c r="V10" s="499">
        <v>80056.28</v>
      </c>
      <c r="W10" s="319"/>
      <c r="X10" s="499">
        <v>80156.28</v>
      </c>
      <c r="Y10" s="319"/>
      <c r="Z10" s="499">
        <v>80331.360000000001</v>
      </c>
      <c r="AA10" s="319"/>
      <c r="AB10" s="499">
        <v>80575.899999999994</v>
      </c>
      <c r="AC10" s="319"/>
      <c r="AD10" s="499">
        <v>80740.39</v>
      </c>
    </row>
    <row r="11" spans="1:30" ht="15.75" thickBot="1" x14ac:dyDescent="0.3">
      <c r="A11" s="531"/>
      <c r="B11" s="531"/>
      <c r="C11" s="531"/>
      <c r="D11" s="531"/>
      <c r="E11" s="531" t="s">
        <v>488</v>
      </c>
      <c r="F11" s="531"/>
      <c r="G11" s="531"/>
      <c r="H11" s="320">
        <v>0</v>
      </c>
      <c r="I11" s="319"/>
      <c r="J11" s="320">
        <v>0</v>
      </c>
      <c r="K11" s="319"/>
      <c r="L11" s="320">
        <v>0</v>
      </c>
      <c r="M11" s="319"/>
      <c r="N11" s="320">
        <v>80127.429999999993</v>
      </c>
      <c r="O11" s="319"/>
      <c r="P11" s="320">
        <v>80254.86</v>
      </c>
      <c r="Q11" s="319"/>
      <c r="R11" s="320">
        <v>80462.89</v>
      </c>
      <c r="S11" s="319"/>
      <c r="T11" s="320">
        <v>80612.44</v>
      </c>
      <c r="U11" s="319"/>
      <c r="V11" s="320">
        <v>0</v>
      </c>
      <c r="W11" s="319"/>
      <c r="X11" s="320">
        <v>0</v>
      </c>
      <c r="Y11" s="319"/>
      <c r="Z11" s="320">
        <v>0</v>
      </c>
      <c r="AA11" s="319"/>
      <c r="AB11" s="320">
        <v>0</v>
      </c>
      <c r="AC11" s="319"/>
      <c r="AD11" s="320">
        <v>0</v>
      </c>
    </row>
    <row r="12" spans="1:30" x14ac:dyDescent="0.25">
      <c r="A12" s="531"/>
      <c r="B12" s="531"/>
      <c r="C12" s="531"/>
      <c r="D12" s="531" t="s">
        <v>489</v>
      </c>
      <c r="E12" s="531"/>
      <c r="F12" s="531"/>
      <c r="G12" s="531"/>
      <c r="H12" s="499">
        <f>ROUND(SUM(H8:H11),5)</f>
        <v>0</v>
      </c>
      <c r="I12" s="319"/>
      <c r="J12" s="499">
        <f>ROUND(SUM(J8:J11),5)</f>
        <v>0</v>
      </c>
      <c r="K12" s="319"/>
      <c r="L12" s="499">
        <f>ROUND(SUM(L8:L11),5)</f>
        <v>0</v>
      </c>
      <c r="M12" s="319"/>
      <c r="N12" s="499">
        <f>ROUND(SUM(N8:N11),5)</f>
        <v>80127.429999999993</v>
      </c>
      <c r="O12" s="319"/>
      <c r="P12" s="499">
        <f>ROUND(SUM(P8:P11),5)</f>
        <v>80254.86</v>
      </c>
      <c r="Q12" s="319"/>
      <c r="R12" s="499">
        <f>ROUND(SUM(R8:R11),5)</f>
        <v>80462.89</v>
      </c>
      <c r="S12" s="319"/>
      <c r="T12" s="499">
        <f>ROUND(SUM(T8:T11),5)</f>
        <v>80612.44</v>
      </c>
      <c r="U12" s="319"/>
      <c r="V12" s="499">
        <f>ROUND(SUM(V8:V11),5)</f>
        <v>160845.32999999999</v>
      </c>
      <c r="W12" s="319"/>
      <c r="X12" s="499">
        <f>ROUND(SUM(X8:X11),5)</f>
        <v>161185.43</v>
      </c>
      <c r="Y12" s="319"/>
      <c r="Z12" s="499">
        <f>ROUND(SUM(Z8:Z11),5)</f>
        <v>161478.59</v>
      </c>
      <c r="AA12" s="319"/>
      <c r="AB12" s="499">
        <f>ROUND(SUM(AB8:AB11),5)</f>
        <v>161822.79</v>
      </c>
      <c r="AC12" s="319"/>
      <c r="AD12" s="499">
        <f>ROUND(SUM(AD8:AD11),5)</f>
        <v>162124.71</v>
      </c>
    </row>
    <row r="13" spans="1:30" x14ac:dyDescent="0.25">
      <c r="A13" s="531"/>
      <c r="B13" s="531"/>
      <c r="C13" s="531"/>
      <c r="D13" s="531" t="s">
        <v>324</v>
      </c>
      <c r="E13" s="531"/>
      <c r="F13" s="531"/>
      <c r="G13" s="531"/>
      <c r="H13" s="499">
        <v>31522.400000000001</v>
      </c>
      <c r="I13" s="319"/>
      <c r="J13" s="499">
        <v>31523.17</v>
      </c>
      <c r="K13" s="319"/>
      <c r="L13" s="499">
        <v>31523.94</v>
      </c>
      <c r="M13" s="319"/>
      <c r="N13" s="499">
        <v>31524.77</v>
      </c>
      <c r="O13" s="319"/>
      <c r="P13" s="499">
        <v>31525.55</v>
      </c>
      <c r="Q13" s="319"/>
      <c r="R13" s="499">
        <v>31526.33</v>
      </c>
      <c r="S13" s="319"/>
      <c r="T13" s="499">
        <v>31527.13</v>
      </c>
      <c r="U13" s="319"/>
      <c r="V13" s="499">
        <v>31527.93</v>
      </c>
      <c r="W13" s="319"/>
      <c r="X13" s="499">
        <v>31528.73</v>
      </c>
      <c r="Y13" s="319"/>
      <c r="Z13" s="499">
        <v>31529.53</v>
      </c>
      <c r="AA13" s="319"/>
      <c r="AB13" s="499">
        <v>31530.33</v>
      </c>
      <c r="AC13" s="319"/>
      <c r="AD13" s="499">
        <v>31531.13</v>
      </c>
    </row>
    <row r="14" spans="1:30" x14ac:dyDescent="0.25">
      <c r="A14" s="531"/>
      <c r="B14" s="531"/>
      <c r="C14" s="531"/>
      <c r="D14" s="531" t="s">
        <v>325</v>
      </c>
      <c r="E14" s="531"/>
      <c r="F14" s="531"/>
      <c r="G14" s="531"/>
      <c r="H14" s="499">
        <v>3265.93</v>
      </c>
      <c r="I14" s="319"/>
      <c r="J14" s="499">
        <v>3261.14</v>
      </c>
      <c r="K14" s="319"/>
      <c r="L14" s="499">
        <v>3256.35</v>
      </c>
      <c r="M14" s="319"/>
      <c r="N14" s="499">
        <v>3251.56</v>
      </c>
      <c r="O14" s="319"/>
      <c r="P14" s="499">
        <v>3246.77</v>
      </c>
      <c r="Q14" s="319"/>
      <c r="R14" s="499">
        <v>3241.98</v>
      </c>
      <c r="S14" s="319"/>
      <c r="T14" s="499">
        <v>0</v>
      </c>
      <c r="U14" s="319"/>
      <c r="V14" s="499">
        <v>0</v>
      </c>
      <c r="W14" s="319"/>
      <c r="X14" s="499">
        <v>0</v>
      </c>
      <c r="Y14" s="319"/>
      <c r="Z14" s="499">
        <v>0</v>
      </c>
      <c r="AA14" s="319"/>
      <c r="AB14" s="499">
        <v>0</v>
      </c>
      <c r="AC14" s="319"/>
      <c r="AD14" s="499">
        <v>0</v>
      </c>
    </row>
    <row r="15" spans="1:30" ht="15.75" thickBot="1" x14ac:dyDescent="0.3">
      <c r="A15" s="531"/>
      <c r="B15" s="531"/>
      <c r="C15" s="531"/>
      <c r="D15" s="531" t="s">
        <v>326</v>
      </c>
      <c r="E15" s="531"/>
      <c r="F15" s="531"/>
      <c r="G15" s="531"/>
      <c r="H15" s="320">
        <v>47538.7</v>
      </c>
      <c r="I15" s="319"/>
      <c r="J15" s="320">
        <v>47923.68</v>
      </c>
      <c r="K15" s="319"/>
      <c r="L15" s="320">
        <v>47976.54</v>
      </c>
      <c r="M15" s="319"/>
      <c r="N15" s="320">
        <v>48281.82</v>
      </c>
      <c r="O15" s="319"/>
      <c r="P15" s="320">
        <v>48078.04</v>
      </c>
      <c r="Q15" s="319"/>
      <c r="R15" s="320">
        <v>48078.04</v>
      </c>
      <c r="S15" s="319"/>
      <c r="T15" s="320">
        <v>0.99</v>
      </c>
      <c r="U15" s="319"/>
      <c r="V15" s="320">
        <v>0.99</v>
      </c>
      <c r="W15" s="319"/>
      <c r="X15" s="320">
        <v>0.99</v>
      </c>
      <c r="Y15" s="319"/>
      <c r="Z15" s="320">
        <v>0.99</v>
      </c>
      <c r="AA15" s="319"/>
      <c r="AB15" s="320">
        <v>0.99</v>
      </c>
      <c r="AC15" s="319"/>
      <c r="AD15" s="320">
        <v>0.99</v>
      </c>
    </row>
    <row r="16" spans="1:30" x14ac:dyDescent="0.25">
      <c r="A16" s="531"/>
      <c r="B16" s="531"/>
      <c r="C16" s="531" t="s">
        <v>264</v>
      </c>
      <c r="D16" s="531"/>
      <c r="E16" s="531"/>
      <c r="F16" s="531"/>
      <c r="G16" s="531"/>
      <c r="H16" s="499">
        <f>ROUND(H4+H7+SUM(H12:H15),5)</f>
        <v>421392.62</v>
      </c>
      <c r="I16" s="319"/>
      <c r="J16" s="499">
        <f>ROUND(J4+J7+SUM(J12:J15),5)</f>
        <v>465402.48</v>
      </c>
      <c r="K16" s="319"/>
      <c r="L16" s="499">
        <f>ROUND(L4+L7+SUM(L12:L15),5)</f>
        <v>472623.13</v>
      </c>
      <c r="M16" s="319"/>
      <c r="N16" s="499">
        <f>ROUND(N4+N7+SUM(N12:N15),5)</f>
        <v>420822.07</v>
      </c>
      <c r="O16" s="319"/>
      <c r="P16" s="499">
        <f>ROUND(P4+P7+SUM(P12:P15),5)</f>
        <v>417163.01</v>
      </c>
      <c r="Q16" s="319"/>
      <c r="R16" s="499">
        <f>ROUND(R4+R7+SUM(R12:R15),5)</f>
        <v>381706.33</v>
      </c>
      <c r="S16" s="319"/>
      <c r="T16" s="499">
        <f>ROUND(T4+T7+SUM(T12:T15),5)</f>
        <v>342243.33</v>
      </c>
      <c r="U16" s="319"/>
      <c r="V16" s="499">
        <f>ROUND(V4+V7+SUM(V12:V15),5)</f>
        <v>379088.62</v>
      </c>
      <c r="W16" s="319"/>
      <c r="X16" s="499">
        <f>ROUND(X4+X7+SUM(X12:X15),5)</f>
        <v>396616</v>
      </c>
      <c r="Y16" s="319"/>
      <c r="Z16" s="499">
        <f>ROUND(Z4+Z7+SUM(Z12:Z15),5)</f>
        <v>397132.96</v>
      </c>
      <c r="AA16" s="319"/>
      <c r="AB16" s="499">
        <f>ROUND(AB4+AB7+SUM(AB12:AB15),5)</f>
        <v>299766.46999999997</v>
      </c>
      <c r="AC16" s="319"/>
      <c r="AD16" s="499">
        <f>ROUND(AD4+AD7+SUM(AD12:AD15),5)</f>
        <v>301814.78999999998</v>
      </c>
    </row>
    <row r="17" spans="1:30" x14ac:dyDescent="0.25">
      <c r="A17" s="531"/>
      <c r="B17" s="531"/>
      <c r="C17" s="531" t="s">
        <v>265</v>
      </c>
      <c r="D17" s="531"/>
      <c r="E17" s="531"/>
      <c r="F17" s="531"/>
      <c r="G17" s="531"/>
      <c r="H17" s="499"/>
      <c r="I17" s="319"/>
      <c r="J17" s="499"/>
      <c r="K17" s="319"/>
      <c r="L17" s="499"/>
      <c r="M17" s="319"/>
      <c r="N17" s="499"/>
      <c r="O17" s="319"/>
      <c r="P17" s="499"/>
      <c r="Q17" s="319"/>
      <c r="R17" s="499"/>
      <c r="S17" s="319"/>
      <c r="T17" s="499"/>
      <c r="U17" s="319"/>
      <c r="V17" s="499"/>
      <c r="W17" s="319"/>
      <c r="X17" s="499"/>
      <c r="Y17" s="319"/>
      <c r="Z17" s="499"/>
      <c r="AA17" s="319"/>
      <c r="AB17" s="499"/>
      <c r="AC17" s="319"/>
      <c r="AD17" s="499"/>
    </row>
    <row r="18" spans="1:30" ht="15.75" thickBot="1" x14ac:dyDescent="0.3">
      <c r="A18" s="531"/>
      <c r="B18" s="531"/>
      <c r="C18" s="531"/>
      <c r="D18" s="531" t="s">
        <v>266</v>
      </c>
      <c r="E18" s="531"/>
      <c r="F18" s="531"/>
      <c r="G18" s="531"/>
      <c r="H18" s="320">
        <v>30001.85</v>
      </c>
      <c r="I18" s="319"/>
      <c r="J18" s="320">
        <v>0</v>
      </c>
      <c r="K18" s="319"/>
      <c r="L18" s="320">
        <v>15000</v>
      </c>
      <c r="M18" s="319"/>
      <c r="N18" s="320">
        <v>15000</v>
      </c>
      <c r="O18" s="319"/>
      <c r="P18" s="320">
        <v>15000</v>
      </c>
      <c r="Q18" s="319"/>
      <c r="R18" s="320">
        <v>33800</v>
      </c>
      <c r="S18" s="319"/>
      <c r="T18" s="320">
        <v>8800</v>
      </c>
      <c r="U18" s="319"/>
      <c r="V18" s="320">
        <v>0</v>
      </c>
      <c r="W18" s="319"/>
      <c r="X18" s="320">
        <v>0</v>
      </c>
      <c r="Y18" s="319"/>
      <c r="Z18" s="320">
        <v>5000</v>
      </c>
      <c r="AA18" s="319"/>
      <c r="AB18" s="320">
        <v>5000</v>
      </c>
      <c r="AC18" s="319"/>
      <c r="AD18" s="320">
        <v>0</v>
      </c>
    </row>
    <row r="19" spans="1:30" x14ac:dyDescent="0.25">
      <c r="A19" s="531"/>
      <c r="B19" s="531"/>
      <c r="C19" s="531" t="s">
        <v>267</v>
      </c>
      <c r="D19" s="531"/>
      <c r="E19" s="531"/>
      <c r="F19" s="531"/>
      <c r="G19" s="531"/>
      <c r="H19" s="499">
        <f>ROUND(SUM(H17:H18),5)</f>
        <v>30001.85</v>
      </c>
      <c r="I19" s="319"/>
      <c r="J19" s="499">
        <f>ROUND(SUM(J17:J18),5)</f>
        <v>0</v>
      </c>
      <c r="K19" s="319"/>
      <c r="L19" s="499">
        <f>ROUND(SUM(L17:L18),5)</f>
        <v>15000</v>
      </c>
      <c r="M19" s="319"/>
      <c r="N19" s="499">
        <f>ROUND(SUM(N17:N18),5)</f>
        <v>15000</v>
      </c>
      <c r="O19" s="319"/>
      <c r="P19" s="499">
        <f>ROUND(SUM(P17:P18),5)</f>
        <v>15000</v>
      </c>
      <c r="Q19" s="319"/>
      <c r="R19" s="499">
        <f>ROUND(SUM(R17:R18),5)</f>
        <v>33800</v>
      </c>
      <c r="S19" s="319"/>
      <c r="T19" s="499">
        <f>ROUND(SUM(T17:T18),5)</f>
        <v>8800</v>
      </c>
      <c r="U19" s="319"/>
      <c r="V19" s="499">
        <f>ROUND(SUM(V17:V18),5)</f>
        <v>0</v>
      </c>
      <c r="W19" s="319"/>
      <c r="X19" s="499">
        <f>ROUND(SUM(X17:X18),5)</f>
        <v>0</v>
      </c>
      <c r="Y19" s="319"/>
      <c r="Z19" s="499">
        <f>ROUND(SUM(Z17:Z18),5)</f>
        <v>5000</v>
      </c>
      <c r="AA19" s="319"/>
      <c r="AB19" s="499">
        <f>ROUND(SUM(AB17:AB18),5)</f>
        <v>5000</v>
      </c>
      <c r="AC19" s="319"/>
      <c r="AD19" s="499">
        <f>ROUND(SUM(AD17:AD18),5)</f>
        <v>0</v>
      </c>
    </row>
    <row r="20" spans="1:30" x14ac:dyDescent="0.25">
      <c r="A20" s="531"/>
      <c r="B20" s="531"/>
      <c r="C20" s="531" t="s">
        <v>268</v>
      </c>
      <c r="D20" s="531"/>
      <c r="E20" s="531"/>
      <c r="F20" s="531"/>
      <c r="G20" s="531"/>
      <c r="H20" s="499"/>
      <c r="I20" s="319"/>
      <c r="J20" s="499"/>
      <c r="K20" s="319"/>
      <c r="L20" s="499"/>
      <c r="M20" s="319"/>
      <c r="N20" s="499"/>
      <c r="O20" s="319"/>
      <c r="P20" s="499"/>
      <c r="Q20" s="319"/>
      <c r="R20" s="499"/>
      <c r="S20" s="319"/>
      <c r="T20" s="499"/>
      <c r="U20" s="319"/>
      <c r="V20" s="499"/>
      <c r="W20" s="319"/>
      <c r="X20" s="499"/>
      <c r="Y20" s="319"/>
      <c r="Z20" s="499"/>
      <c r="AA20" s="319"/>
      <c r="AB20" s="499"/>
      <c r="AC20" s="319"/>
      <c r="AD20" s="499"/>
    </row>
    <row r="21" spans="1:30" x14ac:dyDescent="0.25">
      <c r="A21" s="531"/>
      <c r="B21" s="531"/>
      <c r="C21" s="531"/>
      <c r="D21" s="531" t="s">
        <v>389</v>
      </c>
      <c r="E21" s="531"/>
      <c r="F21" s="531"/>
      <c r="G21" s="531"/>
      <c r="H21" s="499">
        <v>8241.5</v>
      </c>
      <c r="I21" s="319"/>
      <c r="J21" s="499">
        <v>0</v>
      </c>
      <c r="K21" s="319"/>
      <c r="L21" s="499">
        <v>0</v>
      </c>
      <c r="M21" s="319"/>
      <c r="N21" s="499">
        <v>0</v>
      </c>
      <c r="O21" s="319"/>
      <c r="P21" s="499">
        <v>0</v>
      </c>
      <c r="Q21" s="319"/>
      <c r="R21" s="499">
        <v>0</v>
      </c>
      <c r="S21" s="319"/>
      <c r="T21" s="499">
        <v>0</v>
      </c>
      <c r="U21" s="319"/>
      <c r="V21" s="499">
        <v>0</v>
      </c>
      <c r="W21" s="319"/>
      <c r="X21" s="499">
        <v>0</v>
      </c>
      <c r="Y21" s="319"/>
      <c r="Z21" s="499">
        <v>0</v>
      </c>
      <c r="AA21" s="319"/>
      <c r="AB21" s="499">
        <v>0</v>
      </c>
      <c r="AC21" s="319"/>
      <c r="AD21" s="499">
        <v>0</v>
      </c>
    </row>
    <row r="22" spans="1:30" x14ac:dyDescent="0.25">
      <c r="A22" s="531"/>
      <c r="B22" s="531"/>
      <c r="C22" s="531"/>
      <c r="D22" s="531" t="s">
        <v>390</v>
      </c>
      <c r="E22" s="531"/>
      <c r="F22" s="531"/>
      <c r="G22" s="531"/>
      <c r="H22" s="499">
        <v>0</v>
      </c>
      <c r="I22" s="319"/>
      <c r="J22" s="499">
        <v>0</v>
      </c>
      <c r="K22" s="319"/>
      <c r="L22" s="499">
        <v>0</v>
      </c>
      <c r="M22" s="319"/>
      <c r="N22" s="499">
        <v>0</v>
      </c>
      <c r="O22" s="319"/>
      <c r="P22" s="499">
        <v>0</v>
      </c>
      <c r="Q22" s="319"/>
      <c r="R22" s="499">
        <v>0</v>
      </c>
      <c r="S22" s="319"/>
      <c r="T22" s="499">
        <v>15000</v>
      </c>
      <c r="U22" s="319"/>
      <c r="V22" s="499">
        <v>0</v>
      </c>
      <c r="W22" s="319"/>
      <c r="X22" s="499">
        <v>0</v>
      </c>
      <c r="Y22" s="319"/>
      <c r="Z22" s="499">
        <v>0</v>
      </c>
      <c r="AA22" s="319"/>
      <c r="AB22" s="499">
        <v>0</v>
      </c>
      <c r="AC22" s="319"/>
      <c r="AD22" s="499">
        <v>0</v>
      </c>
    </row>
    <row r="23" spans="1:30" x14ac:dyDescent="0.25">
      <c r="A23" s="531"/>
      <c r="B23" s="531"/>
      <c r="C23" s="531"/>
      <c r="D23" s="531" t="s">
        <v>379</v>
      </c>
      <c r="E23" s="531"/>
      <c r="F23" s="531"/>
      <c r="G23" s="531"/>
      <c r="H23" s="499">
        <v>0</v>
      </c>
      <c r="I23" s="319"/>
      <c r="J23" s="499">
        <v>1314.16</v>
      </c>
      <c r="K23" s="319"/>
      <c r="L23" s="499">
        <v>0</v>
      </c>
      <c r="M23" s="319"/>
      <c r="N23" s="499">
        <v>0</v>
      </c>
      <c r="O23" s="319"/>
      <c r="P23" s="499">
        <v>0</v>
      </c>
      <c r="Q23" s="319"/>
      <c r="R23" s="499">
        <v>0</v>
      </c>
      <c r="S23" s="319"/>
      <c r="T23" s="499">
        <v>0</v>
      </c>
      <c r="U23" s="319"/>
      <c r="V23" s="499">
        <v>0</v>
      </c>
      <c r="W23" s="319"/>
      <c r="X23" s="499">
        <v>0</v>
      </c>
      <c r="Y23" s="319"/>
      <c r="Z23" s="499">
        <v>0</v>
      </c>
      <c r="AA23" s="319"/>
      <c r="AB23" s="499">
        <v>0</v>
      </c>
      <c r="AC23" s="319"/>
      <c r="AD23" s="499">
        <v>0</v>
      </c>
    </row>
    <row r="24" spans="1:30" x14ac:dyDescent="0.25">
      <c r="A24" s="531"/>
      <c r="B24" s="531"/>
      <c r="C24" s="531"/>
      <c r="D24" s="531" t="s">
        <v>274</v>
      </c>
      <c r="E24" s="531"/>
      <c r="F24" s="531"/>
      <c r="G24" s="531"/>
      <c r="H24" s="499">
        <v>5019.68</v>
      </c>
      <c r="I24" s="319"/>
      <c r="J24" s="499">
        <v>4383.78</v>
      </c>
      <c r="K24" s="319"/>
      <c r="L24" s="499">
        <v>5387.1</v>
      </c>
      <c r="M24" s="319"/>
      <c r="N24" s="499">
        <v>4675.49</v>
      </c>
      <c r="O24" s="319"/>
      <c r="P24" s="499">
        <v>3963.88</v>
      </c>
      <c r="Q24" s="319"/>
      <c r="R24" s="499">
        <v>3252.27</v>
      </c>
      <c r="S24" s="319"/>
      <c r="T24" s="499">
        <v>2540.66</v>
      </c>
      <c r="U24" s="319"/>
      <c r="V24" s="499">
        <v>1829.08</v>
      </c>
      <c r="W24" s="319"/>
      <c r="X24" s="499">
        <v>1117.5</v>
      </c>
      <c r="Y24" s="319"/>
      <c r="Z24" s="499">
        <v>6405.92</v>
      </c>
      <c r="AA24" s="319"/>
      <c r="AB24" s="499">
        <v>5694.34</v>
      </c>
      <c r="AC24" s="319"/>
      <c r="AD24" s="499">
        <v>4982.76</v>
      </c>
    </row>
    <row r="25" spans="1:30" ht="15.75" thickBot="1" x14ac:dyDescent="0.3">
      <c r="A25" s="531"/>
      <c r="B25" s="531"/>
      <c r="C25" s="531"/>
      <c r="D25" s="531" t="s">
        <v>327</v>
      </c>
      <c r="E25" s="531"/>
      <c r="F25" s="531"/>
      <c r="G25" s="531"/>
      <c r="H25" s="497">
        <v>1624.24</v>
      </c>
      <c r="I25" s="319"/>
      <c r="J25" s="497">
        <v>1133.18</v>
      </c>
      <c r="K25" s="319"/>
      <c r="L25" s="497">
        <v>7321.67</v>
      </c>
      <c r="M25" s="319"/>
      <c r="N25" s="497">
        <v>6729.8</v>
      </c>
      <c r="O25" s="319"/>
      <c r="P25" s="497">
        <v>6137.93</v>
      </c>
      <c r="Q25" s="319"/>
      <c r="R25" s="497">
        <v>5546.06</v>
      </c>
      <c r="S25" s="319"/>
      <c r="T25" s="497">
        <v>4994.4399999999996</v>
      </c>
      <c r="U25" s="319"/>
      <c r="V25" s="497">
        <v>4372.41</v>
      </c>
      <c r="W25" s="319"/>
      <c r="X25" s="497">
        <v>4625.96</v>
      </c>
      <c r="Y25" s="319"/>
      <c r="Z25" s="497">
        <v>3284.33</v>
      </c>
      <c r="AA25" s="319"/>
      <c r="AB25" s="497">
        <v>4514.24</v>
      </c>
      <c r="AC25" s="319"/>
      <c r="AD25" s="497">
        <v>3867.2</v>
      </c>
    </row>
    <row r="26" spans="1:30" ht="15.75" thickBot="1" x14ac:dyDescent="0.3">
      <c r="A26" s="531"/>
      <c r="B26" s="531"/>
      <c r="C26" s="531" t="s">
        <v>276</v>
      </c>
      <c r="D26" s="531"/>
      <c r="E26" s="531"/>
      <c r="F26" s="531"/>
      <c r="G26" s="531"/>
      <c r="H26" s="321">
        <f>ROUND(SUM(H20:H25),5)</f>
        <v>14885.42</v>
      </c>
      <c r="I26" s="319"/>
      <c r="J26" s="321">
        <f>ROUND(SUM(J20:J25),5)</f>
        <v>6831.12</v>
      </c>
      <c r="K26" s="319"/>
      <c r="L26" s="321">
        <f>ROUND(SUM(L20:L25),5)</f>
        <v>12708.77</v>
      </c>
      <c r="M26" s="319"/>
      <c r="N26" s="321">
        <f>ROUND(SUM(N20:N25),5)</f>
        <v>11405.29</v>
      </c>
      <c r="O26" s="319"/>
      <c r="P26" s="321">
        <f>ROUND(SUM(P20:P25),5)</f>
        <v>10101.81</v>
      </c>
      <c r="Q26" s="319"/>
      <c r="R26" s="321">
        <f>ROUND(SUM(R20:R25),5)</f>
        <v>8798.33</v>
      </c>
      <c r="S26" s="319"/>
      <c r="T26" s="321">
        <f>ROUND(SUM(T20:T25),5)</f>
        <v>22535.1</v>
      </c>
      <c r="U26" s="319"/>
      <c r="V26" s="321">
        <f>ROUND(SUM(V20:V25),5)</f>
        <v>6201.49</v>
      </c>
      <c r="W26" s="319"/>
      <c r="X26" s="321">
        <f>ROUND(SUM(X20:X25),5)</f>
        <v>5743.46</v>
      </c>
      <c r="Y26" s="319"/>
      <c r="Z26" s="321">
        <f>ROUND(SUM(Z20:Z25),5)</f>
        <v>9690.25</v>
      </c>
      <c r="AA26" s="319"/>
      <c r="AB26" s="321">
        <f>ROUND(SUM(AB20:AB25),5)</f>
        <v>10208.58</v>
      </c>
      <c r="AC26" s="319"/>
      <c r="AD26" s="321">
        <f>ROUND(SUM(AD20:AD25),5)</f>
        <v>8849.9599999999991</v>
      </c>
    </row>
    <row r="27" spans="1:30" x14ac:dyDescent="0.25">
      <c r="A27" s="531"/>
      <c r="B27" s="531" t="s">
        <v>277</v>
      </c>
      <c r="C27" s="531"/>
      <c r="D27" s="531"/>
      <c r="E27" s="531"/>
      <c r="F27" s="531"/>
      <c r="G27" s="531"/>
      <c r="H27" s="499">
        <f>ROUND(H3+H16+H19+H26,5)</f>
        <v>466279.89</v>
      </c>
      <c r="I27" s="319"/>
      <c r="J27" s="499">
        <f>ROUND(J3+J16+J19+J26,5)</f>
        <v>472233.6</v>
      </c>
      <c r="K27" s="319"/>
      <c r="L27" s="499">
        <f>ROUND(L3+L16+L19+L26,5)</f>
        <v>500331.9</v>
      </c>
      <c r="M27" s="319"/>
      <c r="N27" s="499">
        <f>ROUND(N3+N16+N19+N26,5)</f>
        <v>447227.36</v>
      </c>
      <c r="O27" s="319"/>
      <c r="P27" s="499">
        <f>ROUND(P3+P16+P19+P26,5)</f>
        <v>442264.82</v>
      </c>
      <c r="Q27" s="319"/>
      <c r="R27" s="499">
        <f>ROUND(R3+R16+R19+R26,5)</f>
        <v>424304.66</v>
      </c>
      <c r="S27" s="319"/>
      <c r="T27" s="499">
        <f>ROUND(T3+T16+T19+T26,5)</f>
        <v>373578.43</v>
      </c>
      <c r="U27" s="319"/>
      <c r="V27" s="499">
        <f>ROUND(V3+V16+V19+V26,5)</f>
        <v>385290.11</v>
      </c>
      <c r="W27" s="319"/>
      <c r="X27" s="499">
        <f>ROUND(X3+X16+X19+X26,5)</f>
        <v>402359.46</v>
      </c>
      <c r="Y27" s="319"/>
      <c r="Z27" s="499">
        <f>ROUND(Z3+Z16+Z19+Z26,5)</f>
        <v>411823.21</v>
      </c>
      <c r="AA27" s="319"/>
      <c r="AB27" s="499">
        <f>ROUND(AB3+AB16+AB19+AB26,5)</f>
        <v>314975.05</v>
      </c>
      <c r="AC27" s="319"/>
      <c r="AD27" s="499">
        <f>ROUND(AD3+AD16+AD19+AD26,5)</f>
        <v>310664.75</v>
      </c>
    </row>
    <row r="28" spans="1:30" x14ac:dyDescent="0.25">
      <c r="A28" s="531"/>
      <c r="B28" s="531" t="s">
        <v>278</v>
      </c>
      <c r="C28" s="531"/>
      <c r="D28" s="531"/>
      <c r="E28" s="531"/>
      <c r="F28" s="531"/>
      <c r="G28" s="531"/>
      <c r="H28" s="499"/>
      <c r="I28" s="319"/>
      <c r="J28" s="499"/>
      <c r="K28" s="319"/>
      <c r="L28" s="499"/>
      <c r="M28" s="319"/>
      <c r="N28" s="499"/>
      <c r="O28" s="319"/>
      <c r="P28" s="499"/>
      <c r="Q28" s="319"/>
      <c r="R28" s="499"/>
      <c r="S28" s="319"/>
      <c r="T28" s="499"/>
      <c r="U28" s="319"/>
      <c r="V28" s="499"/>
      <c r="W28" s="319"/>
      <c r="X28" s="499"/>
      <c r="Y28" s="319"/>
      <c r="Z28" s="499"/>
      <c r="AA28" s="319"/>
      <c r="AB28" s="499"/>
      <c r="AC28" s="319"/>
      <c r="AD28" s="499"/>
    </row>
    <row r="29" spans="1:30" x14ac:dyDescent="0.25">
      <c r="A29" s="531"/>
      <c r="B29" s="531"/>
      <c r="C29" s="531" t="s">
        <v>279</v>
      </c>
      <c r="D29" s="531"/>
      <c r="E29" s="531"/>
      <c r="F29" s="531"/>
      <c r="G29" s="531"/>
      <c r="H29" s="499">
        <v>431</v>
      </c>
      <c r="I29" s="319"/>
      <c r="J29" s="499">
        <v>431</v>
      </c>
      <c r="K29" s="319"/>
      <c r="L29" s="499">
        <v>431</v>
      </c>
      <c r="M29" s="319"/>
      <c r="N29" s="499">
        <v>431</v>
      </c>
      <c r="O29" s="319"/>
      <c r="P29" s="499">
        <v>431</v>
      </c>
      <c r="Q29" s="319"/>
      <c r="R29" s="499">
        <v>431</v>
      </c>
      <c r="S29" s="319"/>
      <c r="T29" s="499">
        <v>0</v>
      </c>
      <c r="U29" s="319"/>
      <c r="V29" s="499">
        <v>0</v>
      </c>
      <c r="W29" s="319"/>
      <c r="X29" s="499">
        <v>0</v>
      </c>
      <c r="Y29" s="319"/>
      <c r="Z29" s="499">
        <v>0</v>
      </c>
      <c r="AA29" s="319"/>
      <c r="AB29" s="499">
        <v>0</v>
      </c>
      <c r="AC29" s="319"/>
      <c r="AD29" s="499">
        <v>0</v>
      </c>
    </row>
    <row r="30" spans="1:30" x14ac:dyDescent="0.25">
      <c r="A30" s="531"/>
      <c r="B30" s="531"/>
      <c r="C30" s="531" t="s">
        <v>280</v>
      </c>
      <c r="D30" s="531"/>
      <c r="E30" s="531"/>
      <c r="F30" s="531"/>
      <c r="G30" s="531"/>
      <c r="H30" s="499">
        <v>16192.29</v>
      </c>
      <c r="I30" s="319"/>
      <c r="J30" s="499">
        <v>16192.29</v>
      </c>
      <c r="K30" s="319"/>
      <c r="L30" s="499">
        <v>16192.29</v>
      </c>
      <c r="M30" s="319"/>
      <c r="N30" s="499">
        <v>16192.29</v>
      </c>
      <c r="O30" s="319"/>
      <c r="P30" s="499">
        <v>16192.29</v>
      </c>
      <c r="Q30" s="319"/>
      <c r="R30" s="499">
        <v>16192.29</v>
      </c>
      <c r="S30" s="319"/>
      <c r="T30" s="499">
        <v>0</v>
      </c>
      <c r="U30" s="319"/>
      <c r="V30" s="499">
        <v>0</v>
      </c>
      <c r="W30" s="319"/>
      <c r="X30" s="499">
        <v>0</v>
      </c>
      <c r="Y30" s="319"/>
      <c r="Z30" s="499">
        <v>0</v>
      </c>
      <c r="AA30" s="319"/>
      <c r="AB30" s="499">
        <v>0</v>
      </c>
      <c r="AC30" s="319"/>
      <c r="AD30" s="499">
        <v>0</v>
      </c>
    </row>
    <row r="31" spans="1:30" s="324" customFormat="1" ht="12" thickBot="1" x14ac:dyDescent="0.25">
      <c r="A31" s="531"/>
      <c r="B31" s="531"/>
      <c r="C31" s="531" t="s">
        <v>328</v>
      </c>
      <c r="D31" s="531"/>
      <c r="E31" s="531"/>
      <c r="F31" s="531"/>
      <c r="G31" s="531"/>
      <c r="H31" s="497">
        <v>-16623.29</v>
      </c>
      <c r="I31" s="319"/>
      <c r="J31" s="497">
        <v>-16623.29</v>
      </c>
      <c r="K31" s="319"/>
      <c r="L31" s="497">
        <v>-16623.29</v>
      </c>
      <c r="M31" s="319"/>
      <c r="N31" s="497">
        <v>-16623.29</v>
      </c>
      <c r="O31" s="319"/>
      <c r="P31" s="497">
        <v>-16623.29</v>
      </c>
      <c r="Q31" s="319"/>
      <c r="R31" s="497">
        <v>-16623.29</v>
      </c>
      <c r="S31" s="319"/>
      <c r="T31" s="497">
        <v>0</v>
      </c>
      <c r="U31" s="319"/>
      <c r="V31" s="497">
        <v>0</v>
      </c>
      <c r="W31" s="319"/>
      <c r="X31" s="497">
        <v>0</v>
      </c>
      <c r="Y31" s="319"/>
      <c r="Z31" s="497">
        <v>0</v>
      </c>
      <c r="AA31" s="319"/>
      <c r="AB31" s="497">
        <v>0</v>
      </c>
      <c r="AC31" s="319"/>
      <c r="AD31" s="497">
        <v>0</v>
      </c>
    </row>
    <row r="32" spans="1:30" ht="15.75" thickBot="1" x14ac:dyDescent="0.3">
      <c r="A32" s="531"/>
      <c r="B32" s="531" t="s">
        <v>282</v>
      </c>
      <c r="C32" s="531"/>
      <c r="D32" s="531"/>
      <c r="E32" s="531"/>
      <c r="F32" s="531"/>
      <c r="G32" s="531"/>
      <c r="H32" s="322">
        <f>ROUND(SUM(H28:H31),5)</f>
        <v>0</v>
      </c>
      <c r="I32" s="319"/>
      <c r="J32" s="322">
        <f>ROUND(SUM(J28:J31),5)</f>
        <v>0</v>
      </c>
      <c r="K32" s="319"/>
      <c r="L32" s="322">
        <f>ROUND(SUM(L28:L31),5)</f>
        <v>0</v>
      </c>
      <c r="M32" s="319"/>
      <c r="N32" s="322">
        <f>ROUND(SUM(N28:N31),5)</f>
        <v>0</v>
      </c>
      <c r="O32" s="319"/>
      <c r="P32" s="322">
        <f>ROUND(SUM(P28:P31),5)</f>
        <v>0</v>
      </c>
      <c r="Q32" s="319"/>
      <c r="R32" s="322">
        <f>ROUND(SUM(R28:R31),5)</f>
        <v>0</v>
      </c>
      <c r="S32" s="319"/>
      <c r="T32" s="322">
        <f>ROUND(SUM(T28:T31),5)</f>
        <v>0</v>
      </c>
      <c r="U32" s="319"/>
      <c r="V32" s="322">
        <f>ROUND(SUM(V28:V31),5)</f>
        <v>0</v>
      </c>
      <c r="W32" s="319"/>
      <c r="X32" s="322">
        <f>ROUND(SUM(X28:X31),5)</f>
        <v>0</v>
      </c>
      <c r="Y32" s="319"/>
      <c r="Z32" s="322">
        <f>ROUND(SUM(Z28:Z31),5)</f>
        <v>0</v>
      </c>
      <c r="AA32" s="319"/>
      <c r="AB32" s="322">
        <f>ROUND(SUM(AB28:AB31),5)</f>
        <v>0</v>
      </c>
      <c r="AC32" s="319"/>
      <c r="AD32" s="322">
        <f>ROUND(SUM(AD28:AD31),5)</f>
        <v>0</v>
      </c>
    </row>
    <row r="33" spans="1:32" ht="15.75" thickBot="1" x14ac:dyDescent="0.3">
      <c r="A33" s="531" t="s">
        <v>286</v>
      </c>
      <c r="B33" s="531"/>
      <c r="C33" s="531"/>
      <c r="D33" s="531"/>
      <c r="E33" s="531"/>
      <c r="F33" s="531"/>
      <c r="G33" s="531"/>
      <c r="H33" s="323">
        <f>ROUND(H2+H27+H32,5)</f>
        <v>466279.89</v>
      </c>
      <c r="I33" s="531"/>
      <c r="J33" s="323">
        <f>ROUND(J2+J27+J32,5)</f>
        <v>472233.6</v>
      </c>
      <c r="K33" s="531"/>
      <c r="L33" s="323">
        <f>ROUND(L2+L27+L32,5)</f>
        <v>500331.9</v>
      </c>
      <c r="M33" s="531"/>
      <c r="N33" s="323">
        <f>ROUND(N2+N27+N32,5)</f>
        <v>447227.36</v>
      </c>
      <c r="O33" s="531"/>
      <c r="P33" s="323">
        <f>ROUND(P2+P27+P32,5)</f>
        <v>442264.82</v>
      </c>
      <c r="Q33" s="531"/>
      <c r="R33" s="323">
        <f>ROUND(R2+R27+R32,5)</f>
        <v>424304.66</v>
      </c>
      <c r="S33" s="531"/>
      <c r="T33" s="323">
        <f>ROUND(T2+T27+T32,5)</f>
        <v>373578.43</v>
      </c>
      <c r="U33" s="531"/>
      <c r="V33" s="323">
        <f>ROUND(V2+V27+V32,5)</f>
        <v>385290.11</v>
      </c>
      <c r="W33" s="531"/>
      <c r="X33" s="323">
        <f>ROUND(X2+X27+X32,5)</f>
        <v>402359.46</v>
      </c>
      <c r="Y33" s="531"/>
      <c r="Z33" s="323">
        <f>ROUND(Z2+Z27+Z32,5)</f>
        <v>411823.21</v>
      </c>
      <c r="AA33" s="531"/>
      <c r="AB33" s="323">
        <f>ROUND(AB2+AB27+AB32,5)</f>
        <v>314975.05</v>
      </c>
      <c r="AC33" s="531"/>
      <c r="AD33" s="323">
        <f>ROUND(AD2+AD27+AD32,5)</f>
        <v>310664.75</v>
      </c>
    </row>
    <row r="34" spans="1:32" ht="15.75" thickTop="1" x14ac:dyDescent="0.25">
      <c r="A34" s="531" t="s">
        <v>287</v>
      </c>
      <c r="B34" s="531"/>
      <c r="C34" s="531"/>
      <c r="D34" s="531"/>
      <c r="E34" s="531"/>
      <c r="F34" s="531"/>
      <c r="G34" s="531"/>
      <c r="H34" s="499"/>
      <c r="I34" s="319"/>
      <c r="J34" s="499"/>
      <c r="K34" s="319"/>
      <c r="L34" s="499"/>
      <c r="M34" s="319"/>
      <c r="N34" s="499"/>
      <c r="O34" s="319"/>
      <c r="P34" s="499"/>
      <c r="Q34" s="319"/>
      <c r="R34" s="499"/>
      <c r="S34" s="319"/>
      <c r="T34" s="499"/>
      <c r="U34" s="319"/>
      <c r="V34" s="499"/>
      <c r="W34" s="319"/>
      <c r="X34" s="499"/>
      <c r="Y34" s="319"/>
      <c r="Z34" s="499"/>
      <c r="AA34" s="319"/>
      <c r="AB34" s="499"/>
      <c r="AC34" s="319"/>
      <c r="AD34" s="499"/>
    </row>
    <row r="35" spans="1:32" x14ac:dyDescent="0.25">
      <c r="A35" s="531"/>
      <c r="B35" s="531" t="s">
        <v>288</v>
      </c>
      <c r="C35" s="531"/>
      <c r="D35" s="531"/>
      <c r="E35" s="531"/>
      <c r="F35" s="531"/>
      <c r="G35" s="531"/>
      <c r="H35" s="499"/>
      <c r="I35" s="319"/>
      <c r="J35" s="499"/>
      <c r="K35" s="319"/>
      <c r="L35" s="499"/>
      <c r="M35" s="319"/>
      <c r="N35" s="499"/>
      <c r="O35" s="319"/>
      <c r="P35" s="499"/>
      <c r="Q35" s="319"/>
      <c r="R35" s="499"/>
      <c r="S35" s="319"/>
      <c r="T35" s="499"/>
      <c r="U35" s="319"/>
      <c r="V35" s="499"/>
      <c r="W35" s="319"/>
      <c r="X35" s="499"/>
      <c r="Y35" s="319"/>
      <c r="Z35" s="499"/>
      <c r="AA35" s="319"/>
      <c r="AB35" s="499"/>
      <c r="AC35" s="319"/>
      <c r="AD35" s="499"/>
    </row>
    <row r="36" spans="1:32" x14ac:dyDescent="0.25">
      <c r="A36" s="531"/>
      <c r="B36" s="531"/>
      <c r="C36" s="531" t="s">
        <v>289</v>
      </c>
      <c r="D36" s="531"/>
      <c r="E36" s="531"/>
      <c r="F36" s="531"/>
      <c r="G36" s="531"/>
      <c r="H36" s="499"/>
      <c r="I36" s="319"/>
      <c r="J36" s="499"/>
      <c r="K36" s="319"/>
      <c r="L36" s="499"/>
      <c r="M36" s="319"/>
      <c r="N36" s="499"/>
      <c r="O36" s="319"/>
      <c r="P36" s="499"/>
      <c r="Q36" s="319"/>
      <c r="R36" s="499"/>
      <c r="S36" s="319"/>
      <c r="T36" s="499"/>
      <c r="U36" s="319"/>
      <c r="V36" s="499"/>
      <c r="W36" s="319"/>
      <c r="X36" s="499"/>
      <c r="Y36" s="319"/>
      <c r="Z36" s="499"/>
      <c r="AA36" s="319"/>
      <c r="AB36" s="499"/>
      <c r="AC36" s="319"/>
      <c r="AD36" s="499"/>
    </row>
    <row r="37" spans="1:32" x14ac:dyDescent="0.25">
      <c r="A37" s="531"/>
      <c r="B37" s="531"/>
      <c r="C37" s="531"/>
      <c r="D37" s="531" t="s">
        <v>290</v>
      </c>
      <c r="E37" s="531"/>
      <c r="F37" s="531"/>
      <c r="G37" s="531"/>
      <c r="H37" s="499"/>
      <c r="I37" s="319"/>
      <c r="J37" s="499"/>
      <c r="K37" s="319"/>
      <c r="L37" s="499"/>
      <c r="M37" s="319"/>
      <c r="N37" s="499"/>
      <c r="O37" s="319"/>
      <c r="P37" s="499"/>
      <c r="Q37" s="319"/>
      <c r="R37" s="499"/>
      <c r="S37" s="319"/>
      <c r="T37" s="499"/>
      <c r="U37" s="319"/>
      <c r="V37" s="499"/>
      <c r="W37" s="319"/>
      <c r="X37" s="499"/>
      <c r="Y37" s="319"/>
      <c r="Z37" s="499"/>
      <c r="AA37" s="319"/>
      <c r="AB37" s="499"/>
      <c r="AC37" s="319"/>
      <c r="AD37" s="499"/>
    </row>
    <row r="38" spans="1:32" ht="15.75" thickBot="1" x14ac:dyDescent="0.3">
      <c r="A38" s="531"/>
      <c r="B38" s="531"/>
      <c r="C38" s="531"/>
      <c r="D38" s="531"/>
      <c r="E38" s="531" t="s">
        <v>291</v>
      </c>
      <c r="F38" s="531"/>
      <c r="G38" s="531"/>
      <c r="H38" s="320">
        <v>1984.2</v>
      </c>
      <c r="I38" s="319"/>
      <c r="J38" s="320">
        <v>158.80000000000001</v>
      </c>
      <c r="K38" s="319"/>
      <c r="L38" s="320">
        <v>421.18</v>
      </c>
      <c r="M38" s="319"/>
      <c r="N38" s="320">
        <v>0</v>
      </c>
      <c r="O38" s="319"/>
      <c r="P38" s="320">
        <v>423.5</v>
      </c>
      <c r="Q38" s="319"/>
      <c r="R38" s="320">
        <v>2013.74</v>
      </c>
      <c r="S38" s="319"/>
      <c r="T38" s="320">
        <v>3170</v>
      </c>
      <c r="U38" s="319"/>
      <c r="V38" s="320">
        <v>2699</v>
      </c>
      <c r="W38" s="319"/>
      <c r="X38" s="320">
        <v>4776.1000000000004</v>
      </c>
      <c r="Y38" s="319"/>
      <c r="Z38" s="320">
        <v>19337.02</v>
      </c>
      <c r="AA38" s="319"/>
      <c r="AB38" s="320">
        <v>19075.02</v>
      </c>
      <c r="AC38" s="319"/>
      <c r="AD38" s="320">
        <v>9321.5499999999993</v>
      </c>
    </row>
    <row r="39" spans="1:32" x14ac:dyDescent="0.25">
      <c r="A39" s="531"/>
      <c r="B39" s="531"/>
      <c r="C39" s="531"/>
      <c r="D39" s="531" t="s">
        <v>292</v>
      </c>
      <c r="E39" s="531"/>
      <c r="F39" s="531"/>
      <c r="G39" s="531"/>
      <c r="H39" s="499">
        <f>ROUND(SUM(H37:H38),5)</f>
        <v>1984.2</v>
      </c>
      <c r="I39" s="319"/>
      <c r="J39" s="499">
        <f>ROUND(SUM(J37:J38),5)</f>
        <v>158.80000000000001</v>
      </c>
      <c r="K39" s="319"/>
      <c r="L39" s="499">
        <f>ROUND(SUM(L37:L38),5)</f>
        <v>421.18</v>
      </c>
      <c r="M39" s="319"/>
      <c r="N39" s="499">
        <f>ROUND(SUM(N37:N38),5)</f>
        <v>0</v>
      </c>
      <c r="O39" s="319"/>
      <c r="P39" s="499">
        <f>ROUND(SUM(P37:P38),5)</f>
        <v>423.5</v>
      </c>
      <c r="Q39" s="319"/>
      <c r="R39" s="499">
        <f>ROUND(SUM(R37:R38),5)</f>
        <v>2013.74</v>
      </c>
      <c r="S39" s="319"/>
      <c r="T39" s="499">
        <f>ROUND(SUM(T37:T38),5)</f>
        <v>3170</v>
      </c>
      <c r="U39" s="319"/>
      <c r="V39" s="499">
        <f>ROUND(SUM(V37:V38),5)</f>
        <v>2699</v>
      </c>
      <c r="W39" s="319"/>
      <c r="X39" s="499">
        <f>ROUND(SUM(X37:X38),5)</f>
        <v>4776.1000000000004</v>
      </c>
      <c r="Y39" s="319"/>
      <c r="Z39" s="499">
        <f>ROUND(SUM(Z37:Z38),5)</f>
        <v>19337.02</v>
      </c>
      <c r="AA39" s="319"/>
      <c r="AB39" s="499">
        <f>ROUND(SUM(AB37:AB38),5)</f>
        <v>19075.02</v>
      </c>
      <c r="AC39" s="319"/>
      <c r="AD39" s="499">
        <f>ROUND(SUM(AD37:AD38),5)</f>
        <v>9321.5499999999993</v>
      </c>
    </row>
    <row r="40" spans="1:32" x14ac:dyDescent="0.25">
      <c r="A40" s="531"/>
      <c r="B40" s="531"/>
      <c r="C40" s="531"/>
      <c r="D40" s="531" t="s">
        <v>296</v>
      </c>
      <c r="E40" s="531"/>
      <c r="F40" s="531"/>
      <c r="G40" s="531"/>
      <c r="H40" s="499"/>
      <c r="I40" s="319"/>
      <c r="J40" s="499"/>
      <c r="K40" s="319"/>
      <c r="L40" s="499"/>
      <c r="M40" s="319"/>
      <c r="N40" s="499"/>
      <c r="O40" s="319"/>
      <c r="P40" s="499"/>
      <c r="Q40" s="319"/>
      <c r="R40" s="499"/>
      <c r="S40" s="319"/>
      <c r="T40" s="499"/>
      <c r="U40" s="319"/>
      <c r="V40" s="499"/>
      <c r="W40" s="319"/>
      <c r="X40" s="499"/>
      <c r="Y40" s="319"/>
      <c r="Z40" s="499"/>
      <c r="AA40" s="319"/>
      <c r="AB40" s="499"/>
      <c r="AC40" s="319"/>
      <c r="AD40" s="499"/>
    </row>
    <row r="41" spans="1:32" x14ac:dyDescent="0.25">
      <c r="A41" s="531"/>
      <c r="B41" s="531"/>
      <c r="C41" s="531"/>
      <c r="D41" s="531"/>
      <c r="E41" s="531" t="s">
        <v>329</v>
      </c>
      <c r="F41" s="531"/>
      <c r="G41" s="531"/>
      <c r="H41" s="499"/>
      <c r="I41" s="319"/>
      <c r="J41" s="499"/>
      <c r="K41" s="319"/>
      <c r="L41" s="499"/>
      <c r="M41" s="319"/>
      <c r="N41" s="499"/>
      <c r="O41" s="319"/>
      <c r="P41" s="499"/>
      <c r="Q41" s="319"/>
      <c r="R41" s="499"/>
      <c r="S41" s="319"/>
      <c r="T41" s="499"/>
      <c r="U41" s="319"/>
      <c r="V41" s="499"/>
      <c r="W41" s="319"/>
      <c r="X41" s="499"/>
      <c r="Y41" s="319"/>
      <c r="Z41" s="499"/>
      <c r="AA41" s="319"/>
      <c r="AB41" s="499"/>
      <c r="AC41" s="319"/>
      <c r="AD41" s="499"/>
    </row>
    <row r="42" spans="1:32" x14ac:dyDescent="0.25">
      <c r="A42" s="531"/>
      <c r="B42" s="531"/>
      <c r="C42" s="531"/>
      <c r="D42" s="531"/>
      <c r="E42" s="531"/>
      <c r="F42" s="531" t="s">
        <v>330</v>
      </c>
      <c r="G42" s="531"/>
      <c r="H42" s="499">
        <v>40536.01</v>
      </c>
      <c r="I42" s="319"/>
      <c r="J42" s="499">
        <v>64217.84</v>
      </c>
      <c r="K42" s="319"/>
      <c r="L42" s="499">
        <v>86682.45</v>
      </c>
      <c r="M42" s="319"/>
      <c r="N42" s="499">
        <v>33204.15</v>
      </c>
      <c r="O42" s="319"/>
      <c r="P42" s="499">
        <v>55753.66</v>
      </c>
      <c r="Q42" s="319"/>
      <c r="R42" s="499">
        <v>27839.23</v>
      </c>
      <c r="S42" s="319"/>
      <c r="T42" s="499">
        <v>14674.61</v>
      </c>
      <c r="U42" s="319"/>
      <c r="V42" s="499">
        <v>33225.56</v>
      </c>
      <c r="W42" s="319"/>
      <c r="X42" s="499">
        <v>51029.66</v>
      </c>
      <c r="Y42" s="319"/>
      <c r="Z42" s="499">
        <v>69295.27</v>
      </c>
      <c r="AA42" s="319"/>
      <c r="AB42" s="499">
        <v>12450.05</v>
      </c>
      <c r="AC42" s="319"/>
      <c r="AD42" s="499">
        <v>33872.79</v>
      </c>
    </row>
    <row r="43" spans="1:32" ht="15.75" thickBot="1" x14ac:dyDescent="0.3">
      <c r="A43" s="531"/>
      <c r="B43" s="531"/>
      <c r="C43" s="531"/>
      <c r="D43" s="531"/>
      <c r="E43" s="531"/>
      <c r="F43" s="531" t="s">
        <v>331</v>
      </c>
      <c r="G43" s="531"/>
      <c r="H43" s="320">
        <v>9000.65</v>
      </c>
      <c r="I43" s="319"/>
      <c r="J43" s="320">
        <v>12269.7</v>
      </c>
      <c r="K43" s="319"/>
      <c r="L43" s="320">
        <v>24210.61</v>
      </c>
      <c r="M43" s="319"/>
      <c r="N43" s="320">
        <v>15444.18</v>
      </c>
      <c r="O43" s="319"/>
      <c r="P43" s="320">
        <v>18987.259999999998</v>
      </c>
      <c r="Q43" s="319"/>
      <c r="R43" s="320">
        <v>21841.52</v>
      </c>
      <c r="S43" s="319"/>
      <c r="T43" s="320">
        <v>15561.66</v>
      </c>
      <c r="U43" s="319"/>
      <c r="V43" s="320">
        <v>26623.439999999999</v>
      </c>
      <c r="W43" s="319"/>
      <c r="X43" s="320">
        <v>37563.910000000003</v>
      </c>
      <c r="Y43" s="319"/>
      <c r="Z43" s="320">
        <v>53971.29</v>
      </c>
      <c r="AA43" s="319"/>
      <c r="AB43" s="320">
        <v>41590.07</v>
      </c>
      <c r="AC43" s="319"/>
      <c r="AD43" s="320">
        <v>46783.44</v>
      </c>
    </row>
    <row r="44" spans="1:32" x14ac:dyDescent="0.25">
      <c r="A44" s="531"/>
      <c r="B44" s="531"/>
      <c r="C44" s="531"/>
      <c r="D44" s="531"/>
      <c r="E44" s="531" t="s">
        <v>332</v>
      </c>
      <c r="F44" s="531"/>
      <c r="G44" s="531"/>
      <c r="H44" s="499">
        <f>ROUND(SUM(H41:H43),5)</f>
        <v>49536.66</v>
      </c>
      <c r="I44" s="319"/>
      <c r="J44" s="499">
        <f>ROUND(SUM(J41:J43),5)</f>
        <v>76487.539999999994</v>
      </c>
      <c r="K44" s="319"/>
      <c r="L44" s="499">
        <f>ROUND(SUM(L41:L43),5)</f>
        <v>110893.06</v>
      </c>
      <c r="M44" s="319"/>
      <c r="N44" s="499">
        <f>ROUND(SUM(N41:N43),5)</f>
        <v>48648.33</v>
      </c>
      <c r="O44" s="319"/>
      <c r="P44" s="499">
        <f>ROUND(SUM(P41:P43),5)</f>
        <v>74740.92</v>
      </c>
      <c r="Q44" s="319"/>
      <c r="R44" s="499">
        <f>ROUND(SUM(R41:R43),5)</f>
        <v>49680.75</v>
      </c>
      <c r="S44" s="319"/>
      <c r="T44" s="499">
        <f>ROUND(SUM(T41:T43),5)</f>
        <v>30236.27</v>
      </c>
      <c r="U44" s="319"/>
      <c r="V44" s="499">
        <f>ROUND(SUM(V41:V43),5)</f>
        <v>59849</v>
      </c>
      <c r="W44" s="319"/>
      <c r="X44" s="499">
        <f>ROUND(SUM(X41:X43),5)</f>
        <v>88593.57</v>
      </c>
      <c r="Y44" s="319"/>
      <c r="Z44" s="499">
        <f>ROUND(SUM(Z41:Z43),5)</f>
        <v>123266.56</v>
      </c>
      <c r="AA44" s="319"/>
      <c r="AB44" s="499">
        <f>ROUND(SUM(AB41:AB43),5)</f>
        <v>54040.12</v>
      </c>
      <c r="AC44" s="319"/>
      <c r="AD44" s="499">
        <f>ROUND(SUM(AD41:AD43),5)</f>
        <v>80656.23</v>
      </c>
      <c r="AE44" s="126"/>
      <c r="AF44" s="367"/>
    </row>
    <row r="45" spans="1:32" x14ac:dyDescent="0.25">
      <c r="A45" s="531"/>
      <c r="B45" s="531"/>
      <c r="C45" s="531"/>
      <c r="D45" s="531"/>
      <c r="E45" s="531" t="s">
        <v>333</v>
      </c>
      <c r="F45" s="531"/>
      <c r="G45" s="531"/>
      <c r="H45" s="499"/>
      <c r="I45" s="319"/>
      <c r="J45" s="499"/>
      <c r="K45" s="319"/>
      <c r="L45" s="499"/>
      <c r="M45" s="319"/>
      <c r="N45" s="499"/>
      <c r="O45" s="319"/>
      <c r="P45" s="499"/>
      <c r="Q45" s="319"/>
      <c r="R45" s="499"/>
      <c r="S45" s="319"/>
      <c r="T45" s="499"/>
      <c r="U45" s="319"/>
      <c r="V45" s="499"/>
      <c r="W45" s="319"/>
      <c r="X45" s="499"/>
      <c r="Y45" s="319"/>
      <c r="Z45" s="499"/>
      <c r="AA45" s="319"/>
      <c r="AB45" s="499"/>
      <c r="AC45" s="319"/>
      <c r="AD45" s="499"/>
      <c r="AE45" s="126"/>
      <c r="AF45" s="367"/>
    </row>
    <row r="46" spans="1:32" x14ac:dyDescent="0.25">
      <c r="A46" s="531"/>
      <c r="B46" s="531"/>
      <c r="C46" s="531"/>
      <c r="D46" s="531"/>
      <c r="E46" s="531"/>
      <c r="F46" s="531" t="s">
        <v>392</v>
      </c>
      <c r="G46" s="531"/>
      <c r="H46" s="499">
        <v>34</v>
      </c>
      <c r="I46" s="319"/>
      <c r="J46" s="499">
        <v>434</v>
      </c>
      <c r="K46" s="319"/>
      <c r="L46" s="499">
        <v>434</v>
      </c>
      <c r="M46" s="319"/>
      <c r="N46" s="499">
        <v>434</v>
      </c>
      <c r="O46" s="319"/>
      <c r="P46" s="499">
        <v>434</v>
      </c>
      <c r="Q46" s="319"/>
      <c r="R46" s="499">
        <v>434</v>
      </c>
      <c r="S46" s="319"/>
      <c r="T46" s="499">
        <v>434</v>
      </c>
      <c r="U46" s="319"/>
      <c r="V46" s="499">
        <v>434</v>
      </c>
      <c r="W46" s="319"/>
      <c r="X46" s="499">
        <v>434</v>
      </c>
      <c r="Y46" s="319"/>
      <c r="Z46" s="499">
        <v>434</v>
      </c>
      <c r="AA46" s="319"/>
      <c r="AB46" s="499">
        <v>34</v>
      </c>
      <c r="AC46" s="319"/>
      <c r="AD46" s="499">
        <v>34</v>
      </c>
      <c r="AE46" s="126"/>
      <c r="AF46" s="367"/>
    </row>
    <row r="47" spans="1:32" x14ac:dyDescent="0.25">
      <c r="A47" s="531"/>
      <c r="B47" s="531"/>
      <c r="C47" s="531"/>
      <c r="D47" s="531"/>
      <c r="E47" s="531"/>
      <c r="F47" s="531" t="s">
        <v>334</v>
      </c>
      <c r="G47" s="531"/>
      <c r="H47" s="499">
        <v>439.5</v>
      </c>
      <c r="I47" s="319"/>
      <c r="J47" s="499">
        <v>1489.5</v>
      </c>
      <c r="K47" s="319"/>
      <c r="L47" s="499">
        <v>1489.5</v>
      </c>
      <c r="M47" s="319"/>
      <c r="N47" s="499">
        <v>1489.5</v>
      </c>
      <c r="O47" s="319"/>
      <c r="P47" s="499">
        <v>1489.5</v>
      </c>
      <c r="Q47" s="319"/>
      <c r="R47" s="499">
        <v>1489.5</v>
      </c>
      <c r="S47" s="319"/>
      <c r="T47" s="499">
        <v>1489.5</v>
      </c>
      <c r="U47" s="319"/>
      <c r="V47" s="499">
        <v>1489.5</v>
      </c>
      <c r="W47" s="319"/>
      <c r="X47" s="499">
        <v>1489.5</v>
      </c>
      <c r="Y47" s="319"/>
      <c r="Z47" s="499">
        <v>1489.5</v>
      </c>
      <c r="AA47" s="319"/>
      <c r="AB47" s="499">
        <v>1489.5</v>
      </c>
      <c r="AC47" s="319"/>
      <c r="AD47" s="499">
        <v>1489.5</v>
      </c>
      <c r="AE47" s="126"/>
      <c r="AF47" s="367"/>
    </row>
    <row r="48" spans="1:32" x14ac:dyDescent="0.25">
      <c r="A48" s="531"/>
      <c r="B48" s="531"/>
      <c r="C48" s="531"/>
      <c r="D48" s="531"/>
      <c r="E48" s="531"/>
      <c r="F48" s="531" t="s">
        <v>393</v>
      </c>
      <c r="G48" s="531"/>
      <c r="H48" s="499">
        <v>35.29</v>
      </c>
      <c r="I48" s="319"/>
      <c r="J48" s="499">
        <v>35.29</v>
      </c>
      <c r="K48" s="319"/>
      <c r="L48" s="499">
        <v>35.29</v>
      </c>
      <c r="M48" s="319"/>
      <c r="N48" s="499">
        <v>35.29</v>
      </c>
      <c r="O48" s="319"/>
      <c r="P48" s="499">
        <v>35.29</v>
      </c>
      <c r="Q48" s="319"/>
      <c r="R48" s="499">
        <v>35.29</v>
      </c>
      <c r="S48" s="319"/>
      <c r="T48" s="499">
        <v>35.29</v>
      </c>
      <c r="U48" s="319"/>
      <c r="V48" s="499">
        <v>35.29</v>
      </c>
      <c r="W48" s="319"/>
      <c r="X48" s="499">
        <v>35.29</v>
      </c>
      <c r="Y48" s="319"/>
      <c r="Z48" s="499">
        <v>35.29</v>
      </c>
      <c r="AA48" s="319"/>
      <c r="AB48" s="499">
        <v>35.29</v>
      </c>
      <c r="AC48" s="319"/>
      <c r="AD48" s="499">
        <v>35.29</v>
      </c>
      <c r="AE48" s="126"/>
      <c r="AF48" s="367"/>
    </row>
    <row r="49" spans="1:32" x14ac:dyDescent="0.25">
      <c r="A49" s="531"/>
      <c r="B49" s="531"/>
      <c r="C49" s="531"/>
      <c r="D49" s="531"/>
      <c r="E49" s="531"/>
      <c r="F49" s="531" t="s">
        <v>335</v>
      </c>
      <c r="G49" s="531"/>
      <c r="H49" s="499">
        <v>27.45</v>
      </c>
      <c r="I49" s="319"/>
      <c r="J49" s="499">
        <v>27.45</v>
      </c>
      <c r="K49" s="319"/>
      <c r="L49" s="499">
        <v>227.45</v>
      </c>
      <c r="M49" s="319"/>
      <c r="N49" s="499">
        <v>527.45000000000005</v>
      </c>
      <c r="O49" s="319"/>
      <c r="P49" s="499">
        <v>527.45000000000005</v>
      </c>
      <c r="Q49" s="319"/>
      <c r="R49" s="499">
        <v>527.45000000000005</v>
      </c>
      <c r="S49" s="319"/>
      <c r="T49" s="499">
        <v>527.45000000000005</v>
      </c>
      <c r="U49" s="319"/>
      <c r="V49" s="499">
        <v>527.45000000000005</v>
      </c>
      <c r="W49" s="319"/>
      <c r="X49" s="499">
        <v>463.58</v>
      </c>
      <c r="Y49" s="319"/>
      <c r="Z49" s="499">
        <v>463.58</v>
      </c>
      <c r="AA49" s="319"/>
      <c r="AB49" s="499">
        <v>713.58</v>
      </c>
      <c r="AC49" s="319"/>
      <c r="AD49" s="499">
        <v>521.95000000000005</v>
      </c>
      <c r="AE49" s="126"/>
      <c r="AF49" s="367"/>
    </row>
    <row r="50" spans="1:32" x14ac:dyDescent="0.25">
      <c r="A50" s="531"/>
      <c r="B50" s="531"/>
      <c r="C50" s="531"/>
      <c r="D50" s="531"/>
      <c r="E50" s="531"/>
      <c r="F50" s="531" t="s">
        <v>336</v>
      </c>
      <c r="G50" s="531"/>
      <c r="H50" s="499">
        <v>4720.2299999999996</v>
      </c>
      <c r="I50" s="319"/>
      <c r="J50" s="499">
        <v>4720.2299999999996</v>
      </c>
      <c r="K50" s="319"/>
      <c r="L50" s="499">
        <v>4720.2299999999996</v>
      </c>
      <c r="M50" s="319"/>
      <c r="N50" s="499">
        <v>4720.2299999999996</v>
      </c>
      <c r="O50" s="319"/>
      <c r="P50" s="499">
        <v>4720.2299999999996</v>
      </c>
      <c r="Q50" s="319"/>
      <c r="R50" s="499">
        <v>4720.2299999999996</v>
      </c>
      <c r="S50" s="319"/>
      <c r="T50" s="499">
        <v>4720.2299999999996</v>
      </c>
      <c r="U50" s="319"/>
      <c r="V50" s="499">
        <v>4720.2299999999996</v>
      </c>
      <c r="W50" s="319"/>
      <c r="X50" s="499">
        <v>4720.2299999999996</v>
      </c>
      <c r="Y50" s="319"/>
      <c r="Z50" s="499">
        <v>4720.2299999999996</v>
      </c>
      <c r="AA50" s="319"/>
      <c r="AB50" s="499">
        <v>4720.2299999999996</v>
      </c>
      <c r="AC50" s="319"/>
      <c r="AD50" s="499">
        <v>4720.2299999999996</v>
      </c>
      <c r="AE50" s="126"/>
      <c r="AF50" s="367"/>
    </row>
    <row r="51" spans="1:32" x14ac:dyDescent="0.25">
      <c r="A51" s="531"/>
      <c r="B51" s="531"/>
      <c r="C51" s="531"/>
      <c r="D51" s="531"/>
      <c r="E51" s="531"/>
      <c r="F51" s="531" t="s">
        <v>337</v>
      </c>
      <c r="G51" s="531"/>
      <c r="H51" s="499">
        <v>1166.5</v>
      </c>
      <c r="I51" s="319"/>
      <c r="J51" s="499">
        <v>1216.5</v>
      </c>
      <c r="K51" s="319"/>
      <c r="L51" s="499">
        <v>1256.5</v>
      </c>
      <c r="M51" s="319"/>
      <c r="N51" s="499">
        <v>1306.5</v>
      </c>
      <c r="O51" s="319"/>
      <c r="P51" s="499">
        <v>1306.5</v>
      </c>
      <c r="Q51" s="319"/>
      <c r="R51" s="499">
        <v>1956.5</v>
      </c>
      <c r="S51" s="319"/>
      <c r="T51" s="499">
        <v>1956.5</v>
      </c>
      <c r="U51" s="319"/>
      <c r="V51" s="499">
        <v>1956.5</v>
      </c>
      <c r="W51" s="319"/>
      <c r="X51" s="499">
        <v>1956.5</v>
      </c>
      <c r="Y51" s="319"/>
      <c r="Z51" s="499">
        <v>1287.5</v>
      </c>
      <c r="AA51" s="319"/>
      <c r="AB51" s="499">
        <v>799.5</v>
      </c>
      <c r="AC51" s="319"/>
      <c r="AD51" s="499">
        <v>849.5</v>
      </c>
      <c r="AE51" s="126"/>
      <c r="AF51" s="367"/>
    </row>
    <row r="52" spans="1:32" x14ac:dyDescent="0.25">
      <c r="A52" s="531"/>
      <c r="B52" s="531"/>
      <c r="C52" s="531"/>
      <c r="D52" s="531"/>
      <c r="E52" s="531"/>
      <c r="F52" s="531" t="s">
        <v>338</v>
      </c>
      <c r="G52" s="531"/>
      <c r="H52" s="499">
        <v>63.92</v>
      </c>
      <c r="I52" s="319"/>
      <c r="J52" s="499">
        <v>63.92</v>
      </c>
      <c r="K52" s="319"/>
      <c r="L52" s="499">
        <v>63.92</v>
      </c>
      <c r="M52" s="319"/>
      <c r="N52" s="499">
        <v>63.92</v>
      </c>
      <c r="O52" s="319"/>
      <c r="P52" s="499">
        <v>63.92</v>
      </c>
      <c r="Q52" s="319"/>
      <c r="R52" s="499">
        <v>63.92</v>
      </c>
      <c r="S52" s="319"/>
      <c r="T52" s="499">
        <v>63.92</v>
      </c>
      <c r="U52" s="319"/>
      <c r="V52" s="499">
        <v>63.92</v>
      </c>
      <c r="W52" s="319"/>
      <c r="X52" s="499">
        <v>63.92</v>
      </c>
      <c r="Y52" s="319"/>
      <c r="Z52" s="499">
        <v>63.92</v>
      </c>
      <c r="AA52" s="319"/>
      <c r="AB52" s="499">
        <v>63.92</v>
      </c>
      <c r="AC52" s="319"/>
      <c r="AD52" s="499">
        <v>63.92</v>
      </c>
      <c r="AE52" s="126"/>
      <c r="AF52" s="367"/>
    </row>
    <row r="53" spans="1:32" x14ac:dyDescent="0.25">
      <c r="A53" s="531"/>
      <c r="B53" s="531"/>
      <c r="C53" s="531"/>
      <c r="D53" s="531"/>
      <c r="E53" s="531"/>
      <c r="F53" s="531" t="s">
        <v>339</v>
      </c>
      <c r="G53" s="531"/>
      <c r="H53" s="499">
        <v>500</v>
      </c>
      <c r="I53" s="319"/>
      <c r="J53" s="499">
        <v>500</v>
      </c>
      <c r="K53" s="319"/>
      <c r="L53" s="499">
        <v>500</v>
      </c>
      <c r="M53" s="319"/>
      <c r="N53" s="499">
        <v>500</v>
      </c>
      <c r="O53" s="319"/>
      <c r="P53" s="499">
        <v>500</v>
      </c>
      <c r="Q53" s="319"/>
      <c r="R53" s="499">
        <v>500</v>
      </c>
      <c r="S53" s="319"/>
      <c r="T53" s="499">
        <v>500</v>
      </c>
      <c r="U53" s="319"/>
      <c r="V53" s="499">
        <v>500</v>
      </c>
      <c r="W53" s="319"/>
      <c r="X53" s="499">
        <v>500</v>
      </c>
      <c r="Y53" s="319"/>
      <c r="Z53" s="499">
        <v>500</v>
      </c>
      <c r="AA53" s="319"/>
      <c r="AB53" s="499">
        <v>500</v>
      </c>
      <c r="AC53" s="319"/>
      <c r="AD53" s="499">
        <v>500</v>
      </c>
      <c r="AE53" s="126"/>
      <c r="AF53" s="367"/>
    </row>
    <row r="54" spans="1:32" x14ac:dyDescent="0.25">
      <c r="A54" s="531"/>
      <c r="B54" s="531"/>
      <c r="C54" s="531"/>
      <c r="D54" s="531"/>
      <c r="E54" s="531"/>
      <c r="F54" s="531" t="s">
        <v>340</v>
      </c>
      <c r="G54" s="531"/>
      <c r="H54" s="499">
        <v>536.53</v>
      </c>
      <c r="I54" s="319"/>
      <c r="J54" s="499">
        <v>536.53</v>
      </c>
      <c r="K54" s="319"/>
      <c r="L54" s="499">
        <v>536.53</v>
      </c>
      <c r="M54" s="319"/>
      <c r="N54" s="499">
        <v>536.53</v>
      </c>
      <c r="O54" s="319"/>
      <c r="P54" s="499">
        <v>449.03</v>
      </c>
      <c r="Q54" s="319"/>
      <c r="R54" s="499">
        <v>449.03</v>
      </c>
      <c r="S54" s="319"/>
      <c r="T54" s="499">
        <v>449.03</v>
      </c>
      <c r="U54" s="319"/>
      <c r="V54" s="499">
        <v>449.03</v>
      </c>
      <c r="W54" s="319"/>
      <c r="X54" s="499">
        <v>449.03</v>
      </c>
      <c r="Y54" s="319"/>
      <c r="Z54" s="499">
        <v>449.03</v>
      </c>
      <c r="AA54" s="319"/>
      <c r="AB54" s="499">
        <v>351.03</v>
      </c>
      <c r="AC54" s="319"/>
      <c r="AD54" s="499">
        <v>351.03</v>
      </c>
      <c r="AE54" s="126"/>
      <c r="AF54" s="367"/>
    </row>
    <row r="55" spans="1:32" x14ac:dyDescent="0.25">
      <c r="A55" s="531"/>
      <c r="B55" s="531"/>
      <c r="C55" s="531"/>
      <c r="D55" s="531"/>
      <c r="E55" s="531"/>
      <c r="F55" s="531" t="s">
        <v>341</v>
      </c>
      <c r="G55" s="531"/>
      <c r="H55" s="499">
        <v>100</v>
      </c>
      <c r="I55" s="319"/>
      <c r="J55" s="499">
        <v>100</v>
      </c>
      <c r="K55" s="319"/>
      <c r="L55" s="499">
        <v>100</v>
      </c>
      <c r="M55" s="319"/>
      <c r="N55" s="499">
        <v>100</v>
      </c>
      <c r="O55" s="319"/>
      <c r="P55" s="499">
        <v>100</v>
      </c>
      <c r="Q55" s="319"/>
      <c r="R55" s="499">
        <v>100</v>
      </c>
      <c r="S55" s="319"/>
      <c r="T55" s="499">
        <v>100</v>
      </c>
      <c r="U55" s="319"/>
      <c r="V55" s="499">
        <v>100</v>
      </c>
      <c r="W55" s="319"/>
      <c r="X55" s="499">
        <v>100</v>
      </c>
      <c r="Y55" s="319"/>
      <c r="Z55" s="499">
        <v>100</v>
      </c>
      <c r="AA55" s="319"/>
      <c r="AB55" s="499">
        <v>100</v>
      </c>
      <c r="AC55" s="319"/>
      <c r="AD55" s="499">
        <v>100</v>
      </c>
      <c r="AE55" s="126"/>
      <c r="AF55" s="367"/>
    </row>
    <row r="56" spans="1:32" x14ac:dyDescent="0.25">
      <c r="A56" s="531"/>
      <c r="B56" s="531"/>
      <c r="C56" s="531"/>
      <c r="D56" s="531"/>
      <c r="E56" s="531"/>
      <c r="F56" s="531" t="s">
        <v>342</v>
      </c>
      <c r="G56" s="531"/>
      <c r="H56" s="499">
        <v>900.21</v>
      </c>
      <c r="I56" s="319"/>
      <c r="J56" s="499">
        <v>500.21</v>
      </c>
      <c r="K56" s="319"/>
      <c r="L56" s="499">
        <v>500.21</v>
      </c>
      <c r="M56" s="319"/>
      <c r="N56" s="499">
        <v>500.21</v>
      </c>
      <c r="O56" s="319"/>
      <c r="P56" s="499">
        <v>500.21</v>
      </c>
      <c r="Q56" s="319"/>
      <c r="R56" s="499">
        <v>500.21</v>
      </c>
      <c r="S56" s="319"/>
      <c r="T56" s="499">
        <v>500.21</v>
      </c>
      <c r="U56" s="319"/>
      <c r="V56" s="499">
        <v>500.21</v>
      </c>
      <c r="W56" s="319"/>
      <c r="X56" s="499">
        <v>3562.71</v>
      </c>
      <c r="Y56" s="319"/>
      <c r="Z56" s="499">
        <v>3562.71</v>
      </c>
      <c r="AA56" s="319"/>
      <c r="AB56" s="499">
        <v>3562.71</v>
      </c>
      <c r="AC56" s="319"/>
      <c r="AD56" s="499">
        <v>3562.71</v>
      </c>
      <c r="AE56" s="126"/>
      <c r="AF56" s="367"/>
    </row>
    <row r="57" spans="1:32" x14ac:dyDescent="0.25">
      <c r="A57" s="531"/>
      <c r="B57" s="531"/>
      <c r="C57" s="531"/>
      <c r="D57" s="531"/>
      <c r="E57" s="531"/>
      <c r="F57" s="531" t="s">
        <v>343</v>
      </c>
      <c r="G57" s="531"/>
      <c r="H57" s="499">
        <v>1668.29</v>
      </c>
      <c r="I57" s="319"/>
      <c r="J57" s="499">
        <v>1668.29</v>
      </c>
      <c r="K57" s="319"/>
      <c r="L57" s="499">
        <v>1668.29</v>
      </c>
      <c r="M57" s="319"/>
      <c r="N57" s="499">
        <v>1668.29</v>
      </c>
      <c r="O57" s="319"/>
      <c r="P57" s="499">
        <v>1668.29</v>
      </c>
      <c r="Q57" s="319"/>
      <c r="R57" s="499">
        <v>1668.29</v>
      </c>
      <c r="S57" s="319"/>
      <c r="T57" s="499">
        <v>1668.29</v>
      </c>
      <c r="U57" s="319"/>
      <c r="V57" s="499">
        <v>1668.29</v>
      </c>
      <c r="W57" s="319"/>
      <c r="X57" s="499">
        <v>1668.29</v>
      </c>
      <c r="Y57" s="319"/>
      <c r="Z57" s="499">
        <v>1668.29</v>
      </c>
      <c r="AA57" s="319"/>
      <c r="AB57" s="499">
        <v>1668.29</v>
      </c>
      <c r="AC57" s="319"/>
      <c r="AD57" s="499">
        <v>1668.29</v>
      </c>
      <c r="AE57" s="126"/>
      <c r="AF57" s="367"/>
    </row>
    <row r="58" spans="1:32" x14ac:dyDescent="0.25">
      <c r="A58" s="531"/>
      <c r="B58" s="531"/>
      <c r="C58" s="531"/>
      <c r="D58" s="531"/>
      <c r="E58" s="531"/>
      <c r="F58" s="531" t="s">
        <v>394</v>
      </c>
      <c r="G58" s="531"/>
      <c r="H58" s="499">
        <v>7402.39</v>
      </c>
      <c r="I58" s="319"/>
      <c r="J58" s="499">
        <v>7512.39</v>
      </c>
      <c r="K58" s="319"/>
      <c r="L58" s="499">
        <v>7662.39</v>
      </c>
      <c r="M58" s="319"/>
      <c r="N58" s="499">
        <v>7812.39</v>
      </c>
      <c r="O58" s="319"/>
      <c r="P58" s="499">
        <v>7812.39</v>
      </c>
      <c r="Q58" s="319"/>
      <c r="R58" s="499">
        <v>7812.39</v>
      </c>
      <c r="S58" s="319"/>
      <c r="T58" s="499">
        <v>7812.39</v>
      </c>
      <c r="U58" s="319"/>
      <c r="V58" s="499">
        <v>7227.89</v>
      </c>
      <c r="W58" s="319"/>
      <c r="X58" s="499">
        <v>7227.89</v>
      </c>
      <c r="Y58" s="319"/>
      <c r="Z58" s="499">
        <v>7227.89</v>
      </c>
      <c r="AA58" s="319"/>
      <c r="AB58" s="499">
        <v>7227.89</v>
      </c>
      <c r="AC58" s="319"/>
      <c r="AD58" s="499">
        <v>7227.89</v>
      </c>
      <c r="AE58" s="126"/>
      <c r="AF58" s="367"/>
    </row>
    <row r="59" spans="1:32" x14ac:dyDescent="0.25">
      <c r="A59" s="531"/>
      <c r="B59" s="531"/>
      <c r="C59" s="531"/>
      <c r="D59" s="531"/>
      <c r="E59" s="531"/>
      <c r="F59" s="531" t="s">
        <v>344</v>
      </c>
      <c r="G59" s="531"/>
      <c r="H59" s="499">
        <v>1643.58</v>
      </c>
      <c r="I59" s="319"/>
      <c r="J59" s="499">
        <v>1374.08</v>
      </c>
      <c r="K59" s="319"/>
      <c r="L59" s="499">
        <v>1374.08</v>
      </c>
      <c r="M59" s="319"/>
      <c r="N59" s="499">
        <v>3374.08</v>
      </c>
      <c r="O59" s="319"/>
      <c r="P59" s="499">
        <v>3374.08</v>
      </c>
      <c r="Q59" s="319"/>
      <c r="R59" s="499">
        <v>3374.08</v>
      </c>
      <c r="S59" s="319"/>
      <c r="T59" s="499">
        <v>3374.08</v>
      </c>
      <c r="U59" s="319"/>
      <c r="V59" s="499">
        <v>3291.83</v>
      </c>
      <c r="W59" s="319"/>
      <c r="X59" s="499">
        <v>3411.83</v>
      </c>
      <c r="Y59" s="319"/>
      <c r="Z59" s="499">
        <v>3411.83</v>
      </c>
      <c r="AA59" s="319"/>
      <c r="AB59" s="499">
        <v>3511.83</v>
      </c>
      <c r="AC59" s="319"/>
      <c r="AD59" s="499">
        <v>3546.83</v>
      </c>
      <c r="AE59" s="126"/>
      <c r="AF59" s="367"/>
    </row>
    <row r="60" spans="1:32" x14ac:dyDescent="0.25">
      <c r="A60" s="531"/>
      <c r="B60" s="531"/>
      <c r="C60" s="531"/>
      <c r="D60" s="531"/>
      <c r="E60" s="531"/>
      <c r="F60" s="531" t="s">
        <v>345</v>
      </c>
      <c r="G60" s="531"/>
      <c r="H60" s="499">
        <v>14281.61</v>
      </c>
      <c r="I60" s="319"/>
      <c r="J60" s="499">
        <v>14601.61</v>
      </c>
      <c r="K60" s="319"/>
      <c r="L60" s="499">
        <v>14601.61</v>
      </c>
      <c r="M60" s="319"/>
      <c r="N60" s="499">
        <v>14601.61</v>
      </c>
      <c r="O60" s="319"/>
      <c r="P60" s="499">
        <v>14601.61</v>
      </c>
      <c r="Q60" s="319"/>
      <c r="R60" s="499">
        <v>14601.61</v>
      </c>
      <c r="S60" s="319"/>
      <c r="T60" s="499">
        <v>14601.61</v>
      </c>
      <c r="U60" s="319"/>
      <c r="V60" s="499">
        <v>14013.61</v>
      </c>
      <c r="W60" s="319"/>
      <c r="X60" s="499">
        <v>12669.61</v>
      </c>
      <c r="Y60" s="319"/>
      <c r="Z60" s="499">
        <v>12669.61</v>
      </c>
      <c r="AA60" s="319"/>
      <c r="AB60" s="499">
        <v>12512.11</v>
      </c>
      <c r="AC60" s="319"/>
      <c r="AD60" s="499">
        <v>12512.11</v>
      </c>
      <c r="AE60" s="126"/>
      <c r="AF60" s="367"/>
    </row>
    <row r="61" spans="1:32" x14ac:dyDescent="0.25">
      <c r="A61" s="531"/>
      <c r="B61" s="531"/>
      <c r="C61" s="531"/>
      <c r="D61" s="531"/>
      <c r="E61" s="531"/>
      <c r="F61" s="531" t="s">
        <v>346</v>
      </c>
      <c r="G61" s="531"/>
      <c r="H61" s="499">
        <v>2346.7600000000002</v>
      </c>
      <c r="I61" s="319"/>
      <c r="J61" s="499">
        <v>2566.7600000000002</v>
      </c>
      <c r="K61" s="319"/>
      <c r="L61" s="499">
        <v>2566.7600000000002</v>
      </c>
      <c r="M61" s="319"/>
      <c r="N61" s="499">
        <v>2366.7600000000002</v>
      </c>
      <c r="O61" s="319"/>
      <c r="P61" s="499">
        <v>2366.7600000000002</v>
      </c>
      <c r="Q61" s="319"/>
      <c r="R61" s="499">
        <v>2366.7600000000002</v>
      </c>
      <c r="S61" s="319"/>
      <c r="T61" s="499">
        <v>2366.7600000000002</v>
      </c>
      <c r="U61" s="319"/>
      <c r="V61" s="499">
        <v>2466.7600000000002</v>
      </c>
      <c r="W61" s="319"/>
      <c r="X61" s="499">
        <v>2466.7600000000002</v>
      </c>
      <c r="Y61" s="319"/>
      <c r="Z61" s="499">
        <v>2466.7600000000002</v>
      </c>
      <c r="AA61" s="319"/>
      <c r="AB61" s="499">
        <v>2466.7600000000002</v>
      </c>
      <c r="AC61" s="319"/>
      <c r="AD61" s="499">
        <v>2466.7600000000002</v>
      </c>
      <c r="AE61" s="126"/>
      <c r="AF61" s="367"/>
    </row>
    <row r="62" spans="1:32" x14ac:dyDescent="0.25">
      <c r="A62" s="531"/>
      <c r="B62" s="531"/>
      <c r="C62" s="531"/>
      <c r="D62" s="531"/>
      <c r="E62" s="531"/>
      <c r="F62" s="531" t="s">
        <v>347</v>
      </c>
      <c r="G62" s="531"/>
      <c r="H62" s="499"/>
      <c r="I62" s="319"/>
      <c r="J62" s="499"/>
      <c r="K62" s="319"/>
      <c r="L62" s="499"/>
      <c r="M62" s="319"/>
      <c r="N62" s="499"/>
      <c r="O62" s="319"/>
      <c r="P62" s="499"/>
      <c r="Q62" s="319"/>
      <c r="R62" s="499"/>
      <c r="S62" s="319"/>
      <c r="T62" s="499"/>
      <c r="U62" s="319"/>
      <c r="V62" s="499"/>
      <c r="W62" s="319"/>
      <c r="X62" s="499"/>
      <c r="Y62" s="319"/>
      <c r="Z62" s="499"/>
      <c r="AA62" s="319"/>
      <c r="AB62" s="499"/>
      <c r="AC62" s="319"/>
      <c r="AD62" s="499"/>
      <c r="AE62" s="126"/>
      <c r="AF62" s="367"/>
    </row>
    <row r="63" spans="1:32" x14ac:dyDescent="0.25">
      <c r="A63" s="531"/>
      <c r="B63" s="531"/>
      <c r="C63" s="531"/>
      <c r="D63" s="531"/>
      <c r="E63" s="531"/>
      <c r="F63" s="531"/>
      <c r="G63" s="531" t="s">
        <v>348</v>
      </c>
      <c r="H63" s="499">
        <v>3137.8</v>
      </c>
      <c r="I63" s="319"/>
      <c r="J63" s="499">
        <v>3137.8</v>
      </c>
      <c r="K63" s="319"/>
      <c r="L63" s="499">
        <v>3137.8</v>
      </c>
      <c r="M63" s="319"/>
      <c r="N63" s="499">
        <v>3137.8</v>
      </c>
      <c r="O63" s="319"/>
      <c r="P63" s="499">
        <v>9738.64</v>
      </c>
      <c r="Q63" s="319"/>
      <c r="R63" s="499">
        <v>13938.64</v>
      </c>
      <c r="S63" s="319"/>
      <c r="T63" s="499">
        <v>-12880.36</v>
      </c>
      <c r="U63" s="319"/>
      <c r="V63" s="499">
        <v>-6132.86</v>
      </c>
      <c r="W63" s="319"/>
      <c r="X63" s="499">
        <v>0</v>
      </c>
      <c r="Y63" s="319"/>
      <c r="Z63" s="499">
        <v>0</v>
      </c>
      <c r="AA63" s="319"/>
      <c r="AB63" s="499">
        <v>0</v>
      </c>
      <c r="AC63" s="319"/>
      <c r="AD63" s="499">
        <v>0</v>
      </c>
      <c r="AE63" s="126"/>
      <c r="AF63" s="367"/>
    </row>
    <row r="64" spans="1:32" ht="15.75" thickBot="1" x14ac:dyDescent="0.3">
      <c r="A64" s="531"/>
      <c r="B64" s="531"/>
      <c r="C64" s="531"/>
      <c r="D64" s="531"/>
      <c r="E64" s="531"/>
      <c r="F64" s="531"/>
      <c r="G64" s="531" t="s">
        <v>349</v>
      </c>
      <c r="H64" s="320">
        <v>35137.15</v>
      </c>
      <c r="I64" s="319"/>
      <c r="J64" s="320">
        <v>38962.15</v>
      </c>
      <c r="K64" s="319"/>
      <c r="L64" s="320">
        <v>37962.15</v>
      </c>
      <c r="M64" s="319"/>
      <c r="N64" s="320">
        <v>38862.15</v>
      </c>
      <c r="O64" s="319"/>
      <c r="P64" s="320">
        <v>24881.37</v>
      </c>
      <c r="Q64" s="319"/>
      <c r="R64" s="320">
        <v>23881.37</v>
      </c>
      <c r="S64" s="319"/>
      <c r="T64" s="320">
        <v>23853.82</v>
      </c>
      <c r="U64" s="319"/>
      <c r="V64" s="320">
        <v>24328.82</v>
      </c>
      <c r="W64" s="319"/>
      <c r="X64" s="320">
        <v>35697.449999999997</v>
      </c>
      <c r="Y64" s="319"/>
      <c r="Z64" s="320">
        <v>33289.449999999997</v>
      </c>
      <c r="AA64" s="319"/>
      <c r="AB64" s="320">
        <v>33289.449999999997</v>
      </c>
      <c r="AC64" s="319"/>
      <c r="AD64" s="320">
        <v>33289.449999999997</v>
      </c>
      <c r="AE64" s="126"/>
      <c r="AF64" s="367"/>
    </row>
    <row r="65" spans="1:32" x14ac:dyDescent="0.25">
      <c r="A65" s="531"/>
      <c r="B65" s="531"/>
      <c r="C65" s="531"/>
      <c r="D65" s="531"/>
      <c r="E65" s="531"/>
      <c r="F65" s="531" t="s">
        <v>350</v>
      </c>
      <c r="G65" s="531"/>
      <c r="H65" s="499">
        <f>ROUND(SUM(H62:H64),5)</f>
        <v>38274.949999999997</v>
      </c>
      <c r="I65" s="319"/>
      <c r="J65" s="499">
        <f>ROUND(SUM(J62:J64),5)</f>
        <v>42099.95</v>
      </c>
      <c r="K65" s="319"/>
      <c r="L65" s="499">
        <f>ROUND(SUM(L62:L64),5)</f>
        <v>41099.949999999997</v>
      </c>
      <c r="M65" s="319"/>
      <c r="N65" s="499">
        <f>ROUND(SUM(N62:N64),5)</f>
        <v>41999.95</v>
      </c>
      <c r="O65" s="319"/>
      <c r="P65" s="499">
        <f>ROUND(SUM(P62:P64),5)</f>
        <v>34620.01</v>
      </c>
      <c r="Q65" s="319"/>
      <c r="R65" s="499">
        <f>ROUND(SUM(R62:R64),5)</f>
        <v>37820.01</v>
      </c>
      <c r="S65" s="319"/>
      <c r="T65" s="499">
        <f>ROUND(SUM(T62:T64),5)</f>
        <v>10973.46</v>
      </c>
      <c r="U65" s="319"/>
      <c r="V65" s="499">
        <f>ROUND(SUM(V62:V64),5)</f>
        <v>18195.96</v>
      </c>
      <c r="W65" s="319"/>
      <c r="X65" s="499">
        <f>ROUND(SUM(X62:X64),5)</f>
        <v>35697.449999999997</v>
      </c>
      <c r="Y65" s="319"/>
      <c r="Z65" s="499">
        <f>ROUND(SUM(Z62:Z64),5)</f>
        <v>33289.449999999997</v>
      </c>
      <c r="AA65" s="319"/>
      <c r="AB65" s="499">
        <f>ROUND(SUM(AB62:AB64),5)</f>
        <v>33289.449999999997</v>
      </c>
      <c r="AC65" s="319"/>
      <c r="AD65" s="499">
        <f>ROUND(SUM(AD62:AD64),5)</f>
        <v>33289.449999999997</v>
      </c>
      <c r="AE65" s="126"/>
      <c r="AF65" s="367"/>
    </row>
    <row r="66" spans="1:32" x14ac:dyDescent="0.25">
      <c r="A66" s="531"/>
      <c r="B66" s="531"/>
      <c r="C66" s="531"/>
      <c r="D66" s="531"/>
      <c r="E66" s="531"/>
      <c r="F66" s="531" t="s">
        <v>351</v>
      </c>
      <c r="G66" s="531"/>
      <c r="H66" s="499">
        <v>858.27</v>
      </c>
      <c r="I66" s="319"/>
      <c r="J66" s="499">
        <v>858.27</v>
      </c>
      <c r="K66" s="319"/>
      <c r="L66" s="499">
        <v>777.62</v>
      </c>
      <c r="M66" s="319"/>
      <c r="N66" s="499">
        <v>777.62</v>
      </c>
      <c r="O66" s="319"/>
      <c r="P66" s="499">
        <v>737.62</v>
      </c>
      <c r="Q66" s="319"/>
      <c r="R66" s="499">
        <v>737.62</v>
      </c>
      <c r="S66" s="319"/>
      <c r="T66" s="499">
        <v>837.62</v>
      </c>
      <c r="U66" s="319"/>
      <c r="V66" s="499">
        <v>1285.1199999999999</v>
      </c>
      <c r="W66" s="319"/>
      <c r="X66" s="499">
        <v>1285.1199999999999</v>
      </c>
      <c r="Y66" s="319"/>
      <c r="Z66" s="499">
        <v>1285.1199999999999</v>
      </c>
      <c r="AA66" s="319"/>
      <c r="AB66" s="499">
        <v>1285.1199999999999</v>
      </c>
      <c r="AC66" s="319"/>
      <c r="AD66" s="499">
        <v>1285.1199999999999</v>
      </c>
      <c r="AE66" s="126"/>
      <c r="AF66" s="367"/>
    </row>
    <row r="67" spans="1:32" x14ac:dyDescent="0.25">
      <c r="A67" s="531"/>
      <c r="B67" s="531"/>
      <c r="C67" s="531"/>
      <c r="D67" s="531"/>
      <c r="E67" s="531"/>
      <c r="F67" s="531" t="s">
        <v>352</v>
      </c>
      <c r="G67" s="531"/>
      <c r="H67" s="499">
        <v>14154.7</v>
      </c>
      <c r="I67" s="319"/>
      <c r="J67" s="499">
        <v>13194.2</v>
      </c>
      <c r="K67" s="319"/>
      <c r="L67" s="499">
        <v>12194.2</v>
      </c>
      <c r="M67" s="319"/>
      <c r="N67" s="499">
        <v>12529.2</v>
      </c>
      <c r="O67" s="319"/>
      <c r="P67" s="499">
        <v>12791.2</v>
      </c>
      <c r="Q67" s="319"/>
      <c r="R67" s="499">
        <v>15981.2</v>
      </c>
      <c r="S67" s="319"/>
      <c r="T67" s="499">
        <v>17056.2</v>
      </c>
      <c r="U67" s="319"/>
      <c r="V67" s="499">
        <v>15121.2</v>
      </c>
      <c r="W67" s="319"/>
      <c r="X67" s="499">
        <v>12266.2</v>
      </c>
      <c r="Y67" s="319"/>
      <c r="Z67" s="499">
        <v>-2368.8200000000002</v>
      </c>
      <c r="AA67" s="319"/>
      <c r="AB67" s="499">
        <v>-1968.82</v>
      </c>
      <c r="AC67" s="319"/>
      <c r="AD67" s="499">
        <v>-593.82000000000005</v>
      </c>
      <c r="AE67" s="126"/>
      <c r="AF67" s="367"/>
    </row>
    <row r="68" spans="1:32" x14ac:dyDescent="0.25">
      <c r="A68" s="531"/>
      <c r="B68" s="531"/>
      <c r="C68" s="531"/>
      <c r="D68" s="531"/>
      <c r="E68" s="531"/>
      <c r="F68" s="531" t="s">
        <v>353</v>
      </c>
      <c r="G68" s="531"/>
      <c r="H68" s="499">
        <v>500</v>
      </c>
      <c r="I68" s="319"/>
      <c r="J68" s="499">
        <v>500</v>
      </c>
      <c r="K68" s="319"/>
      <c r="L68" s="499">
        <v>500</v>
      </c>
      <c r="M68" s="319"/>
      <c r="N68" s="499">
        <v>500</v>
      </c>
      <c r="O68" s="319"/>
      <c r="P68" s="499">
        <v>500</v>
      </c>
      <c r="Q68" s="319"/>
      <c r="R68" s="499">
        <v>500</v>
      </c>
      <c r="S68" s="319"/>
      <c r="T68" s="499">
        <v>500</v>
      </c>
      <c r="U68" s="319"/>
      <c r="V68" s="499">
        <v>500</v>
      </c>
      <c r="W68" s="319"/>
      <c r="X68" s="499">
        <v>500</v>
      </c>
      <c r="Y68" s="319"/>
      <c r="Z68" s="499">
        <v>500</v>
      </c>
      <c r="AA68" s="319"/>
      <c r="AB68" s="499">
        <v>5500</v>
      </c>
      <c r="AC68" s="319"/>
      <c r="AD68" s="499">
        <v>5500</v>
      </c>
      <c r="AE68" s="126"/>
      <c r="AF68" s="367"/>
    </row>
    <row r="69" spans="1:32" x14ac:dyDescent="0.25">
      <c r="A69" s="531"/>
      <c r="B69" s="531"/>
      <c r="C69" s="531"/>
      <c r="D69" s="531"/>
      <c r="E69" s="531"/>
      <c r="F69" s="531" t="s">
        <v>391</v>
      </c>
      <c r="G69" s="531"/>
      <c r="H69" s="499">
        <v>40</v>
      </c>
      <c r="I69" s="319"/>
      <c r="J69" s="499">
        <v>40</v>
      </c>
      <c r="K69" s="319"/>
      <c r="L69" s="499">
        <v>40</v>
      </c>
      <c r="M69" s="319"/>
      <c r="N69" s="499">
        <v>40</v>
      </c>
      <c r="O69" s="319"/>
      <c r="P69" s="499">
        <v>40</v>
      </c>
      <c r="Q69" s="319"/>
      <c r="R69" s="499">
        <v>40</v>
      </c>
      <c r="S69" s="319"/>
      <c r="T69" s="499">
        <v>40</v>
      </c>
      <c r="U69" s="319"/>
      <c r="V69" s="499">
        <v>40</v>
      </c>
      <c r="W69" s="319"/>
      <c r="X69" s="499">
        <v>40</v>
      </c>
      <c r="Y69" s="319"/>
      <c r="Z69" s="499">
        <v>40</v>
      </c>
      <c r="AA69" s="319"/>
      <c r="AB69" s="499">
        <v>40</v>
      </c>
      <c r="AC69" s="319"/>
      <c r="AD69" s="499">
        <v>40</v>
      </c>
      <c r="AE69" s="126"/>
      <c r="AF69" s="367"/>
    </row>
    <row r="70" spans="1:32" x14ac:dyDescent="0.25">
      <c r="A70" s="531"/>
      <c r="B70" s="531"/>
      <c r="C70" s="531"/>
      <c r="D70" s="531"/>
      <c r="E70" s="531"/>
      <c r="F70" s="531" t="s">
        <v>354</v>
      </c>
      <c r="G70" s="531"/>
      <c r="H70" s="499">
        <v>42450.23</v>
      </c>
      <c r="I70" s="319"/>
      <c r="J70" s="499">
        <v>44305.23</v>
      </c>
      <c r="K70" s="319"/>
      <c r="L70" s="499">
        <v>44305.23</v>
      </c>
      <c r="M70" s="319"/>
      <c r="N70" s="499">
        <v>0</v>
      </c>
      <c r="O70" s="319"/>
      <c r="P70" s="499">
        <v>0</v>
      </c>
      <c r="Q70" s="319"/>
      <c r="R70" s="499">
        <v>0</v>
      </c>
      <c r="S70" s="319"/>
      <c r="T70" s="499">
        <v>0</v>
      </c>
      <c r="U70" s="319"/>
      <c r="V70" s="499">
        <v>0</v>
      </c>
      <c r="W70" s="319"/>
      <c r="X70" s="499">
        <v>-600</v>
      </c>
      <c r="Y70" s="319"/>
      <c r="Z70" s="499">
        <v>-600</v>
      </c>
      <c r="AA70" s="319"/>
      <c r="AB70" s="499">
        <v>-600</v>
      </c>
      <c r="AC70" s="319"/>
      <c r="AD70" s="499">
        <v>-600</v>
      </c>
      <c r="AE70" s="126"/>
      <c r="AF70" s="367"/>
    </row>
    <row r="71" spans="1:32" x14ac:dyDescent="0.25">
      <c r="A71" s="531"/>
      <c r="B71" s="531"/>
      <c r="C71" s="531"/>
      <c r="D71" s="531"/>
      <c r="E71" s="531"/>
      <c r="F71" s="531" t="s">
        <v>395</v>
      </c>
      <c r="G71" s="531"/>
      <c r="H71" s="499">
        <v>4165.1400000000003</v>
      </c>
      <c r="I71" s="319"/>
      <c r="J71" s="499">
        <v>4425.1400000000003</v>
      </c>
      <c r="K71" s="319"/>
      <c r="L71" s="499">
        <v>4425.1400000000003</v>
      </c>
      <c r="M71" s="319"/>
      <c r="N71" s="499">
        <v>4425.1400000000003</v>
      </c>
      <c r="O71" s="319"/>
      <c r="P71" s="499">
        <v>4425.1400000000003</v>
      </c>
      <c r="Q71" s="319"/>
      <c r="R71" s="499">
        <v>4425.1400000000003</v>
      </c>
      <c r="S71" s="319"/>
      <c r="T71" s="499">
        <v>4425.1400000000003</v>
      </c>
      <c r="U71" s="319"/>
      <c r="V71" s="499">
        <v>4485.1400000000003</v>
      </c>
      <c r="W71" s="319"/>
      <c r="X71" s="499">
        <v>3877.14</v>
      </c>
      <c r="Y71" s="319"/>
      <c r="Z71" s="499">
        <v>3877.14</v>
      </c>
      <c r="AA71" s="319"/>
      <c r="AB71" s="499">
        <v>3877.14</v>
      </c>
      <c r="AC71" s="319"/>
      <c r="AD71" s="499">
        <v>4127.1400000000003</v>
      </c>
      <c r="AE71" s="126"/>
      <c r="AF71" s="367"/>
    </row>
    <row r="72" spans="1:32" x14ac:dyDescent="0.25">
      <c r="A72" s="531"/>
      <c r="B72" s="531"/>
      <c r="C72" s="531"/>
      <c r="D72" s="531"/>
      <c r="E72" s="531"/>
      <c r="F72" s="531" t="s">
        <v>355</v>
      </c>
      <c r="G72" s="531"/>
      <c r="H72" s="499">
        <v>1561.36</v>
      </c>
      <c r="I72" s="319"/>
      <c r="J72" s="499">
        <v>1256.8599999999999</v>
      </c>
      <c r="K72" s="319"/>
      <c r="L72" s="499">
        <v>1256.8599999999999</v>
      </c>
      <c r="M72" s="319"/>
      <c r="N72" s="499">
        <v>1256.8599999999999</v>
      </c>
      <c r="O72" s="319"/>
      <c r="P72" s="499">
        <v>1256.8599999999999</v>
      </c>
      <c r="Q72" s="319"/>
      <c r="R72" s="499">
        <v>1256.8599999999999</v>
      </c>
      <c r="S72" s="319"/>
      <c r="T72" s="499">
        <v>1256.8599999999999</v>
      </c>
      <c r="U72" s="319"/>
      <c r="V72" s="499">
        <v>1256.8599999999999</v>
      </c>
      <c r="W72" s="319"/>
      <c r="X72" s="499">
        <v>1256.8599999999999</v>
      </c>
      <c r="Y72" s="319"/>
      <c r="Z72" s="499">
        <v>1256.8599999999999</v>
      </c>
      <c r="AA72" s="319"/>
      <c r="AB72" s="499">
        <v>1256.8599999999999</v>
      </c>
      <c r="AC72" s="319"/>
      <c r="AD72" s="499">
        <v>1256.8599999999999</v>
      </c>
      <c r="AE72" s="126"/>
      <c r="AF72" s="367"/>
    </row>
    <row r="73" spans="1:32" x14ac:dyDescent="0.25">
      <c r="A73" s="531"/>
      <c r="B73" s="531"/>
      <c r="C73" s="531"/>
      <c r="D73" s="531"/>
      <c r="E73" s="531"/>
      <c r="F73" s="531" t="s">
        <v>356</v>
      </c>
      <c r="G73" s="531"/>
      <c r="H73" s="499">
        <v>6246.29</v>
      </c>
      <c r="I73" s="319"/>
      <c r="J73" s="499">
        <v>6246.29</v>
      </c>
      <c r="K73" s="319"/>
      <c r="L73" s="499">
        <v>5446.29</v>
      </c>
      <c r="M73" s="319"/>
      <c r="N73" s="499">
        <v>5446.29</v>
      </c>
      <c r="O73" s="319"/>
      <c r="P73" s="499">
        <v>5446.29</v>
      </c>
      <c r="Q73" s="319"/>
      <c r="R73" s="499">
        <v>5626.29</v>
      </c>
      <c r="S73" s="319"/>
      <c r="T73" s="499">
        <v>5626.29</v>
      </c>
      <c r="U73" s="319"/>
      <c r="V73" s="499">
        <v>5101.29</v>
      </c>
      <c r="W73" s="319"/>
      <c r="X73" s="499">
        <v>5101.29</v>
      </c>
      <c r="Y73" s="319"/>
      <c r="Z73" s="499">
        <v>5101.29</v>
      </c>
      <c r="AA73" s="319"/>
      <c r="AB73" s="499">
        <v>5201.29</v>
      </c>
      <c r="AC73" s="319"/>
      <c r="AD73" s="499">
        <v>5201.29</v>
      </c>
      <c r="AE73" s="126"/>
      <c r="AF73" s="367"/>
    </row>
    <row r="74" spans="1:32" x14ac:dyDescent="0.25">
      <c r="A74" s="531"/>
      <c r="B74" s="531"/>
      <c r="C74" s="531"/>
      <c r="D74" s="531"/>
      <c r="E74" s="531"/>
      <c r="F74" s="531" t="s">
        <v>357</v>
      </c>
      <c r="G74" s="531"/>
      <c r="H74" s="499">
        <v>50</v>
      </c>
      <c r="I74" s="319"/>
      <c r="J74" s="499">
        <v>50</v>
      </c>
      <c r="K74" s="319"/>
      <c r="L74" s="499">
        <v>50</v>
      </c>
      <c r="M74" s="319"/>
      <c r="N74" s="499">
        <v>50</v>
      </c>
      <c r="O74" s="319"/>
      <c r="P74" s="499">
        <v>50</v>
      </c>
      <c r="Q74" s="319"/>
      <c r="R74" s="499">
        <v>50</v>
      </c>
      <c r="S74" s="319"/>
      <c r="T74" s="499">
        <v>50</v>
      </c>
      <c r="U74" s="319"/>
      <c r="V74" s="499">
        <v>50</v>
      </c>
      <c r="W74" s="319"/>
      <c r="X74" s="499">
        <v>50</v>
      </c>
      <c r="Y74" s="319"/>
      <c r="Z74" s="499">
        <v>50</v>
      </c>
      <c r="AA74" s="319"/>
      <c r="AB74" s="499">
        <v>50</v>
      </c>
      <c r="AC74" s="319"/>
      <c r="AD74" s="499">
        <v>50</v>
      </c>
      <c r="AE74" s="126"/>
      <c r="AF74" s="367"/>
    </row>
    <row r="75" spans="1:32" x14ac:dyDescent="0.25">
      <c r="A75" s="531"/>
      <c r="B75" s="531"/>
      <c r="C75" s="531"/>
      <c r="D75" s="531"/>
      <c r="E75" s="531"/>
      <c r="F75" s="531" t="s">
        <v>396</v>
      </c>
      <c r="G75" s="531"/>
      <c r="H75" s="499">
        <v>3071.86</v>
      </c>
      <c r="I75" s="319"/>
      <c r="J75" s="499">
        <v>3221.86</v>
      </c>
      <c r="K75" s="319"/>
      <c r="L75" s="499">
        <v>3221.86</v>
      </c>
      <c r="M75" s="319"/>
      <c r="N75" s="499">
        <v>4321.8599999999997</v>
      </c>
      <c r="O75" s="319"/>
      <c r="P75" s="499">
        <v>4721.8599999999997</v>
      </c>
      <c r="Q75" s="319"/>
      <c r="R75" s="499">
        <v>4721.8599999999997</v>
      </c>
      <c r="S75" s="319"/>
      <c r="T75" s="499">
        <v>5146.8599999999997</v>
      </c>
      <c r="U75" s="319"/>
      <c r="V75" s="499">
        <v>5146.8599999999997</v>
      </c>
      <c r="W75" s="319"/>
      <c r="X75" s="499">
        <v>4986.8599999999997</v>
      </c>
      <c r="Y75" s="319"/>
      <c r="Z75" s="499">
        <v>2617.86</v>
      </c>
      <c r="AA75" s="319"/>
      <c r="AB75" s="499">
        <v>2617.86</v>
      </c>
      <c r="AC75" s="319"/>
      <c r="AD75" s="499">
        <v>2617.86</v>
      </c>
      <c r="AE75" s="126"/>
      <c r="AF75" s="367"/>
    </row>
    <row r="76" spans="1:32" x14ac:dyDescent="0.25">
      <c r="A76" s="531"/>
      <c r="B76" s="531"/>
      <c r="C76" s="531"/>
      <c r="D76" s="531"/>
      <c r="E76" s="531"/>
      <c r="F76" s="531" t="s">
        <v>358</v>
      </c>
      <c r="G76" s="531"/>
      <c r="H76" s="499">
        <v>25</v>
      </c>
      <c r="I76" s="319"/>
      <c r="J76" s="499">
        <v>25</v>
      </c>
      <c r="K76" s="319"/>
      <c r="L76" s="499">
        <v>25</v>
      </c>
      <c r="M76" s="319"/>
      <c r="N76" s="499">
        <v>25</v>
      </c>
      <c r="O76" s="319"/>
      <c r="P76" s="499">
        <v>25</v>
      </c>
      <c r="Q76" s="319"/>
      <c r="R76" s="499">
        <v>25</v>
      </c>
      <c r="S76" s="319"/>
      <c r="T76" s="499">
        <v>25</v>
      </c>
      <c r="U76" s="319"/>
      <c r="V76" s="499">
        <v>25</v>
      </c>
      <c r="W76" s="319"/>
      <c r="X76" s="499">
        <v>25</v>
      </c>
      <c r="Y76" s="319"/>
      <c r="Z76" s="499">
        <v>25</v>
      </c>
      <c r="AA76" s="319"/>
      <c r="AB76" s="499">
        <v>25</v>
      </c>
      <c r="AC76" s="319"/>
      <c r="AD76" s="499">
        <v>25</v>
      </c>
      <c r="AE76" s="126"/>
      <c r="AF76" s="367"/>
    </row>
    <row r="77" spans="1:32" x14ac:dyDescent="0.25">
      <c r="A77" s="531"/>
      <c r="B77" s="531"/>
      <c r="C77" s="531"/>
      <c r="D77" s="531"/>
      <c r="E77" s="531"/>
      <c r="F77" s="531" t="s">
        <v>359</v>
      </c>
      <c r="G77" s="531"/>
      <c r="H77" s="499">
        <v>74.47</v>
      </c>
      <c r="I77" s="319"/>
      <c r="J77" s="499">
        <v>74.47</v>
      </c>
      <c r="K77" s="319"/>
      <c r="L77" s="499">
        <v>74.47</v>
      </c>
      <c r="M77" s="319"/>
      <c r="N77" s="499">
        <v>74.47</v>
      </c>
      <c r="O77" s="319"/>
      <c r="P77" s="499">
        <v>74.47</v>
      </c>
      <c r="Q77" s="319"/>
      <c r="R77" s="499">
        <v>74.47</v>
      </c>
      <c r="S77" s="319"/>
      <c r="T77" s="499">
        <v>74.47</v>
      </c>
      <c r="U77" s="319"/>
      <c r="V77" s="499">
        <v>74.47</v>
      </c>
      <c r="W77" s="319"/>
      <c r="X77" s="499">
        <v>74.47</v>
      </c>
      <c r="Y77" s="319"/>
      <c r="Z77" s="499">
        <v>74.47</v>
      </c>
      <c r="AA77" s="319"/>
      <c r="AB77" s="499">
        <v>74.47</v>
      </c>
      <c r="AC77" s="319"/>
      <c r="AD77" s="499">
        <v>74.47</v>
      </c>
      <c r="AE77" s="126"/>
      <c r="AF77" s="367"/>
    </row>
    <row r="78" spans="1:32" x14ac:dyDescent="0.25">
      <c r="A78" s="531"/>
      <c r="B78" s="531"/>
      <c r="C78" s="531"/>
      <c r="D78" s="531"/>
      <c r="E78" s="531"/>
      <c r="F78" s="531" t="s">
        <v>360</v>
      </c>
      <c r="G78" s="531"/>
      <c r="H78" s="499">
        <v>55.41</v>
      </c>
      <c r="I78" s="319"/>
      <c r="J78" s="499">
        <v>55.41</v>
      </c>
      <c r="K78" s="319"/>
      <c r="L78" s="499">
        <v>55.41</v>
      </c>
      <c r="M78" s="319"/>
      <c r="N78" s="499">
        <v>55.41</v>
      </c>
      <c r="O78" s="319"/>
      <c r="P78" s="499">
        <v>55.41</v>
      </c>
      <c r="Q78" s="319"/>
      <c r="R78" s="499">
        <v>55.41</v>
      </c>
      <c r="S78" s="319"/>
      <c r="T78" s="499">
        <v>55.41</v>
      </c>
      <c r="U78" s="319"/>
      <c r="V78" s="499">
        <v>55.41</v>
      </c>
      <c r="W78" s="319"/>
      <c r="X78" s="499">
        <v>55.41</v>
      </c>
      <c r="Y78" s="319"/>
      <c r="Z78" s="499">
        <v>55.41</v>
      </c>
      <c r="AA78" s="319"/>
      <c r="AB78" s="499">
        <v>55.41</v>
      </c>
      <c r="AC78" s="319"/>
      <c r="AD78" s="499">
        <v>55.41</v>
      </c>
      <c r="AE78" s="126"/>
      <c r="AF78" s="367"/>
    </row>
    <row r="79" spans="1:32" x14ac:dyDescent="0.25">
      <c r="A79" s="531"/>
      <c r="B79" s="531"/>
      <c r="C79" s="531"/>
      <c r="D79" s="531"/>
      <c r="E79" s="531"/>
      <c r="F79" s="531" t="s">
        <v>361</v>
      </c>
      <c r="G79" s="531"/>
      <c r="H79" s="499">
        <v>888.66</v>
      </c>
      <c r="I79" s="319"/>
      <c r="J79" s="499">
        <v>888.66</v>
      </c>
      <c r="K79" s="319"/>
      <c r="L79" s="499">
        <v>888.66</v>
      </c>
      <c r="M79" s="319"/>
      <c r="N79" s="499">
        <v>888.66</v>
      </c>
      <c r="O79" s="319"/>
      <c r="P79" s="499">
        <v>888.66</v>
      </c>
      <c r="Q79" s="319"/>
      <c r="R79" s="499">
        <v>888.66</v>
      </c>
      <c r="S79" s="319"/>
      <c r="T79" s="499">
        <v>888.66</v>
      </c>
      <c r="U79" s="319"/>
      <c r="V79" s="499">
        <v>888.66</v>
      </c>
      <c r="W79" s="319"/>
      <c r="X79" s="499">
        <v>888.66</v>
      </c>
      <c r="Y79" s="319"/>
      <c r="Z79" s="499">
        <v>888.66</v>
      </c>
      <c r="AA79" s="319"/>
      <c r="AB79" s="499">
        <v>888.66</v>
      </c>
      <c r="AC79" s="319"/>
      <c r="AD79" s="499">
        <v>888.66</v>
      </c>
      <c r="AE79" s="126"/>
      <c r="AF79" s="367"/>
    </row>
    <row r="80" spans="1:32" x14ac:dyDescent="0.25">
      <c r="A80" s="531"/>
      <c r="B80" s="531"/>
      <c r="C80" s="531"/>
      <c r="D80" s="531"/>
      <c r="E80" s="531"/>
      <c r="F80" s="531" t="s">
        <v>377</v>
      </c>
      <c r="G80" s="531"/>
      <c r="H80" s="499">
        <v>4496.47</v>
      </c>
      <c r="I80" s="319"/>
      <c r="J80" s="499">
        <v>4686.47</v>
      </c>
      <c r="K80" s="319"/>
      <c r="L80" s="499">
        <v>4621.47</v>
      </c>
      <c r="M80" s="319"/>
      <c r="N80" s="499">
        <v>4621.47</v>
      </c>
      <c r="O80" s="319"/>
      <c r="P80" s="499">
        <v>4621.47</v>
      </c>
      <c r="Q80" s="319"/>
      <c r="R80" s="499">
        <v>4621.47</v>
      </c>
      <c r="S80" s="319"/>
      <c r="T80" s="499">
        <v>4367.17</v>
      </c>
      <c r="U80" s="319"/>
      <c r="V80" s="499">
        <v>4367.17</v>
      </c>
      <c r="W80" s="319"/>
      <c r="X80" s="499">
        <v>6298.17</v>
      </c>
      <c r="Y80" s="319"/>
      <c r="Z80" s="499">
        <v>6298.17</v>
      </c>
      <c r="AA80" s="319"/>
      <c r="AB80" s="499">
        <v>6298.17</v>
      </c>
      <c r="AC80" s="319"/>
      <c r="AD80" s="499">
        <v>6298.17</v>
      </c>
      <c r="AE80" s="126"/>
    </row>
    <row r="81" spans="1:31" ht="15.75" thickBot="1" x14ac:dyDescent="0.3">
      <c r="A81" s="531"/>
      <c r="B81" s="531"/>
      <c r="C81" s="531"/>
      <c r="D81" s="531"/>
      <c r="E81" s="531"/>
      <c r="F81" s="531" t="s">
        <v>490</v>
      </c>
      <c r="G81" s="531"/>
      <c r="H81" s="320">
        <v>0</v>
      </c>
      <c r="I81" s="319"/>
      <c r="J81" s="320">
        <v>0</v>
      </c>
      <c r="K81" s="319"/>
      <c r="L81" s="320">
        <v>0</v>
      </c>
      <c r="M81" s="319"/>
      <c r="N81" s="320">
        <v>0</v>
      </c>
      <c r="O81" s="319"/>
      <c r="P81" s="320">
        <v>0</v>
      </c>
      <c r="Q81" s="319"/>
      <c r="R81" s="320">
        <v>0</v>
      </c>
      <c r="S81" s="319"/>
      <c r="T81" s="320">
        <v>0</v>
      </c>
      <c r="U81" s="319"/>
      <c r="V81" s="320">
        <v>0</v>
      </c>
      <c r="W81" s="319"/>
      <c r="X81" s="320">
        <v>0</v>
      </c>
      <c r="Y81" s="319"/>
      <c r="Z81" s="320">
        <v>0</v>
      </c>
      <c r="AA81" s="319"/>
      <c r="AB81" s="320">
        <v>0</v>
      </c>
      <c r="AC81" s="319"/>
      <c r="AD81" s="320">
        <v>250</v>
      </c>
    </row>
    <row r="82" spans="1:31" x14ac:dyDescent="0.25">
      <c r="A82" s="531"/>
      <c r="B82" s="531"/>
      <c r="C82" s="531"/>
      <c r="D82" s="531"/>
      <c r="E82" s="531" t="s">
        <v>362</v>
      </c>
      <c r="F82" s="531"/>
      <c r="G82" s="531"/>
      <c r="H82" s="499">
        <f>ROUND(SUM(H45:H61)+SUM(H65:H81),5)</f>
        <v>152779.07</v>
      </c>
      <c r="I82" s="319"/>
      <c r="J82" s="499">
        <f>ROUND(SUM(J45:J61)+SUM(J65:J81),5)</f>
        <v>159274.57</v>
      </c>
      <c r="K82" s="319"/>
      <c r="L82" s="499">
        <f>ROUND(SUM(L45:L61)+SUM(L65:L81),5)</f>
        <v>156718.92000000001</v>
      </c>
      <c r="M82" s="319"/>
      <c r="N82" s="499">
        <f>ROUND(SUM(N45:N61)+SUM(N65:N81),5)</f>
        <v>117048.69</v>
      </c>
      <c r="O82" s="319"/>
      <c r="P82" s="499">
        <f>ROUND(SUM(P45:P61)+SUM(P65:P81),5)</f>
        <v>110203.25</v>
      </c>
      <c r="Q82" s="319"/>
      <c r="R82" s="499">
        <f>ROUND(SUM(R45:R61)+SUM(R65:R81),5)</f>
        <v>117423.25</v>
      </c>
      <c r="S82" s="319"/>
      <c r="T82" s="499">
        <f>ROUND(SUM(T45:T61)+SUM(T65:T81),5)</f>
        <v>91922.4</v>
      </c>
      <c r="U82" s="319"/>
      <c r="V82" s="499">
        <f>ROUND(SUM(V45:V61)+SUM(V65:V81),5)</f>
        <v>96037.65</v>
      </c>
      <c r="W82" s="319"/>
      <c r="X82" s="499">
        <f>ROUND(SUM(X45:X61)+SUM(X65:X81),5)</f>
        <v>113021.77</v>
      </c>
      <c r="Y82" s="319"/>
      <c r="Z82" s="499">
        <f>ROUND(SUM(Z45:Z61)+SUM(Z65:Z81),5)</f>
        <v>92940.75</v>
      </c>
      <c r="AA82" s="319"/>
      <c r="AB82" s="499">
        <f>ROUND(SUM(AB45:AB61)+SUM(AB65:AB81),5)</f>
        <v>97647.25</v>
      </c>
      <c r="AC82" s="319"/>
      <c r="AD82" s="499">
        <f>ROUND(SUM(AD45:AD61)+SUM(AD65:AD81),5)</f>
        <v>99415.62</v>
      </c>
    </row>
    <row r="83" spans="1:31" x14ac:dyDescent="0.25">
      <c r="A83" s="531"/>
      <c r="B83" s="531"/>
      <c r="C83" s="531"/>
      <c r="D83" s="531"/>
      <c r="E83" s="531" t="s">
        <v>363</v>
      </c>
      <c r="F83" s="531"/>
      <c r="G83" s="531"/>
      <c r="H83" s="499">
        <v>0</v>
      </c>
      <c r="I83" s="319"/>
      <c r="J83" s="499">
        <v>106.26</v>
      </c>
      <c r="K83" s="319"/>
      <c r="L83" s="499">
        <v>165.7</v>
      </c>
      <c r="M83" s="319"/>
      <c r="N83" s="499">
        <v>178.57</v>
      </c>
      <c r="O83" s="319"/>
      <c r="P83" s="499">
        <v>188.23</v>
      </c>
      <c r="Q83" s="319"/>
      <c r="R83" s="499">
        <v>191.45</v>
      </c>
      <c r="S83" s="319"/>
      <c r="T83" s="499">
        <v>0</v>
      </c>
      <c r="U83" s="319"/>
      <c r="V83" s="499">
        <v>0</v>
      </c>
      <c r="W83" s="319"/>
      <c r="X83" s="499">
        <v>93.33</v>
      </c>
      <c r="Y83" s="319"/>
      <c r="Z83" s="499">
        <v>217.59</v>
      </c>
      <c r="AA83" s="319"/>
      <c r="AB83" s="499">
        <v>59.89</v>
      </c>
      <c r="AC83" s="319"/>
      <c r="AD83" s="499">
        <v>59.89</v>
      </c>
    </row>
    <row r="84" spans="1:31" ht="15.75" thickBot="1" x14ac:dyDescent="0.3">
      <c r="A84" s="531"/>
      <c r="B84" s="531"/>
      <c r="C84" s="531"/>
      <c r="D84" s="531"/>
      <c r="E84" s="531" t="s">
        <v>364</v>
      </c>
      <c r="F84" s="531"/>
      <c r="G84" s="531"/>
      <c r="H84" s="497">
        <v>14512.34</v>
      </c>
      <c r="I84" s="319"/>
      <c r="J84" s="497">
        <v>15393.14</v>
      </c>
      <c r="K84" s="319"/>
      <c r="L84" s="497">
        <v>15668.32</v>
      </c>
      <c r="M84" s="319"/>
      <c r="N84" s="497">
        <v>16892.07</v>
      </c>
      <c r="O84" s="319"/>
      <c r="P84" s="497">
        <v>16790.54</v>
      </c>
      <c r="Q84" s="319"/>
      <c r="R84" s="497">
        <v>14087.37</v>
      </c>
      <c r="S84" s="319"/>
      <c r="T84" s="497">
        <v>10820.18</v>
      </c>
      <c r="U84" s="319"/>
      <c r="V84" s="497">
        <v>9373.7999999999993</v>
      </c>
      <c r="W84" s="319"/>
      <c r="X84" s="497">
        <v>10402.1</v>
      </c>
      <c r="Y84" s="319"/>
      <c r="Z84" s="497">
        <v>11337.88</v>
      </c>
      <c r="AA84" s="319"/>
      <c r="AB84" s="497">
        <v>11164.05</v>
      </c>
      <c r="AC84" s="319"/>
      <c r="AD84" s="497">
        <v>11634.52</v>
      </c>
    </row>
    <row r="85" spans="1:31" ht="15.75" thickBot="1" x14ac:dyDescent="0.3">
      <c r="A85" s="531"/>
      <c r="B85" s="531"/>
      <c r="C85" s="531"/>
      <c r="D85" s="531" t="s">
        <v>305</v>
      </c>
      <c r="E85" s="531"/>
      <c r="F85" s="531"/>
      <c r="G85" s="531"/>
      <c r="H85" s="322">
        <f>ROUND(H40+H44+SUM(H82:H84),5)</f>
        <v>216828.07</v>
      </c>
      <c r="I85" s="319"/>
      <c r="J85" s="322">
        <f>ROUND(J40+J44+SUM(J82:J84),5)</f>
        <v>251261.51</v>
      </c>
      <c r="K85" s="319"/>
      <c r="L85" s="322">
        <f>ROUND(L40+L44+SUM(L82:L84),5)</f>
        <v>283446</v>
      </c>
      <c r="M85" s="319"/>
      <c r="N85" s="322">
        <f>ROUND(N40+N44+SUM(N82:N84),5)</f>
        <v>182767.66</v>
      </c>
      <c r="O85" s="319"/>
      <c r="P85" s="322">
        <f>ROUND(P40+P44+SUM(P82:P84),5)</f>
        <v>201922.94</v>
      </c>
      <c r="Q85" s="319"/>
      <c r="R85" s="322">
        <f>ROUND(R40+R44+SUM(R82:R84),5)</f>
        <v>181382.82</v>
      </c>
      <c r="S85" s="319"/>
      <c r="T85" s="322">
        <f>ROUND(T40+T44+SUM(T82:T84),5)</f>
        <v>132978.85</v>
      </c>
      <c r="U85" s="319"/>
      <c r="V85" s="322">
        <f>ROUND(V40+V44+SUM(V82:V84),5)</f>
        <v>165260.45000000001</v>
      </c>
      <c r="W85" s="319"/>
      <c r="X85" s="322">
        <f>ROUND(X40+X44+SUM(X82:X84),5)</f>
        <v>212110.77</v>
      </c>
      <c r="Y85" s="319"/>
      <c r="Z85" s="322">
        <f>ROUND(Z40+Z44+SUM(Z82:Z84),5)</f>
        <v>227762.78</v>
      </c>
      <c r="AA85" s="319"/>
      <c r="AB85" s="322">
        <f>ROUND(AB40+AB44+SUM(AB82:AB84),5)</f>
        <v>162911.31</v>
      </c>
      <c r="AC85" s="319"/>
      <c r="AD85" s="322">
        <f>ROUND(AD40+AD44+SUM(AD82:AD84),5)</f>
        <v>191766.26</v>
      </c>
    </row>
    <row r="86" spans="1:31" ht="15.75" thickBot="1" x14ac:dyDescent="0.3">
      <c r="A86" s="531"/>
      <c r="B86" s="531"/>
      <c r="C86" s="531" t="s">
        <v>306</v>
      </c>
      <c r="D86" s="531"/>
      <c r="E86" s="531"/>
      <c r="F86" s="531"/>
      <c r="G86" s="531"/>
      <c r="H86" s="321">
        <f>ROUND(H36+H39+H85,5)</f>
        <v>218812.27</v>
      </c>
      <c r="I86" s="319"/>
      <c r="J86" s="321">
        <f>ROUND(J36+J39+J85,5)</f>
        <v>251420.31</v>
      </c>
      <c r="K86" s="319"/>
      <c r="L86" s="321">
        <f>ROUND(L36+L39+L85,5)</f>
        <v>283867.18</v>
      </c>
      <c r="M86" s="319"/>
      <c r="N86" s="321">
        <f>ROUND(N36+N39+N85,5)</f>
        <v>182767.66</v>
      </c>
      <c r="O86" s="319"/>
      <c r="P86" s="321">
        <f>ROUND(P36+P39+P85,5)</f>
        <v>202346.44</v>
      </c>
      <c r="Q86" s="319"/>
      <c r="R86" s="321">
        <f>ROUND(R36+R39+R85,5)</f>
        <v>183396.56</v>
      </c>
      <c r="S86" s="319"/>
      <c r="T86" s="321">
        <f>ROUND(T36+T39+T85,5)</f>
        <v>136148.85</v>
      </c>
      <c r="U86" s="319"/>
      <c r="V86" s="321">
        <f>ROUND(V36+V39+V85,5)</f>
        <v>167959.45</v>
      </c>
      <c r="W86" s="319"/>
      <c r="X86" s="321">
        <f>ROUND(X36+X39+X85,5)</f>
        <v>216886.87</v>
      </c>
      <c r="Y86" s="319"/>
      <c r="Z86" s="321">
        <f>ROUND(Z36+Z39+Z85,5)</f>
        <v>247099.8</v>
      </c>
      <c r="AA86" s="319"/>
      <c r="AB86" s="321">
        <f>ROUND(AB36+AB39+AB85,5)</f>
        <v>181986.33</v>
      </c>
      <c r="AC86" s="319"/>
      <c r="AD86" s="321">
        <f>ROUND(AD36+AD39+AD85,5)</f>
        <v>201087.81</v>
      </c>
    </row>
    <row r="87" spans="1:31" x14ac:dyDescent="0.25">
      <c r="A87" s="531"/>
      <c r="B87" s="531" t="s">
        <v>310</v>
      </c>
      <c r="C87" s="531"/>
      <c r="D87" s="531"/>
      <c r="E87" s="531"/>
      <c r="F87" s="531"/>
      <c r="G87" s="531"/>
      <c r="H87" s="499">
        <f>ROUND(H35+H86,5)</f>
        <v>218812.27</v>
      </c>
      <c r="I87" s="319"/>
      <c r="J87" s="499">
        <f>ROUND(J35+J86,5)</f>
        <v>251420.31</v>
      </c>
      <c r="K87" s="319"/>
      <c r="L87" s="499">
        <f>ROUND(L35+L86,5)</f>
        <v>283867.18</v>
      </c>
      <c r="M87" s="319"/>
      <c r="N87" s="499">
        <f>ROUND(N35+N86,5)</f>
        <v>182767.66</v>
      </c>
      <c r="O87" s="319"/>
      <c r="P87" s="499">
        <f>ROUND(P35+P86,5)</f>
        <v>202346.44</v>
      </c>
      <c r="Q87" s="319"/>
      <c r="R87" s="499">
        <f>ROUND(R35+R86,5)</f>
        <v>183396.56</v>
      </c>
      <c r="S87" s="319"/>
      <c r="T87" s="499">
        <f>ROUND(T35+T86,5)</f>
        <v>136148.85</v>
      </c>
      <c r="U87" s="319"/>
      <c r="V87" s="499">
        <f>ROUND(V35+V86,5)</f>
        <v>167959.45</v>
      </c>
      <c r="W87" s="319"/>
      <c r="X87" s="499">
        <f>ROUND(X35+X86,5)</f>
        <v>216886.87</v>
      </c>
      <c r="Y87" s="319"/>
      <c r="Z87" s="499">
        <f>ROUND(Z35+Z86,5)</f>
        <v>247099.8</v>
      </c>
      <c r="AA87" s="319"/>
      <c r="AB87" s="499">
        <f>ROUND(AB35+AB86,5)</f>
        <v>181986.33</v>
      </c>
      <c r="AC87" s="319"/>
      <c r="AD87" s="499">
        <f>ROUND(AD35+AD86,5)</f>
        <v>201087.81</v>
      </c>
    </row>
    <row r="88" spans="1:31" x14ac:dyDescent="0.25">
      <c r="A88" s="531"/>
      <c r="B88" s="531" t="s">
        <v>311</v>
      </c>
      <c r="C88" s="531"/>
      <c r="D88" s="531"/>
      <c r="E88" s="531"/>
      <c r="F88" s="531"/>
      <c r="G88" s="531"/>
      <c r="H88" s="499"/>
      <c r="I88" s="319"/>
      <c r="J88" s="499"/>
      <c r="K88" s="319"/>
      <c r="L88" s="499"/>
      <c r="M88" s="319"/>
      <c r="N88" s="499"/>
      <c r="O88" s="319"/>
      <c r="P88" s="499"/>
      <c r="Q88" s="319"/>
      <c r="R88" s="499"/>
      <c r="S88" s="319"/>
      <c r="T88" s="499"/>
      <c r="U88" s="319"/>
      <c r="V88" s="499"/>
      <c r="W88" s="319"/>
      <c r="X88" s="499"/>
      <c r="Y88" s="319"/>
      <c r="Z88" s="499"/>
      <c r="AA88" s="319"/>
      <c r="AB88" s="499"/>
      <c r="AC88" s="319"/>
      <c r="AD88" s="499"/>
    </row>
    <row r="89" spans="1:31" x14ac:dyDescent="0.25">
      <c r="A89" s="531"/>
      <c r="B89" s="531"/>
      <c r="C89" s="531" t="s">
        <v>312</v>
      </c>
      <c r="D89" s="531"/>
      <c r="E89" s="531"/>
      <c r="F89" s="531"/>
      <c r="G89" s="531"/>
      <c r="H89" s="499">
        <v>182438.12</v>
      </c>
      <c r="I89" s="319"/>
      <c r="J89" s="499">
        <v>195195.38</v>
      </c>
      <c r="K89" s="319"/>
      <c r="L89" s="499">
        <v>204738.81</v>
      </c>
      <c r="M89" s="319"/>
      <c r="N89" s="499">
        <v>140838.45000000001</v>
      </c>
      <c r="O89" s="319"/>
      <c r="P89" s="499">
        <v>151816</v>
      </c>
      <c r="Q89" s="319"/>
      <c r="R89" s="499">
        <v>153654.48000000001</v>
      </c>
      <c r="S89" s="319"/>
      <c r="T89" s="499">
        <v>149598.82</v>
      </c>
      <c r="U89" s="319"/>
      <c r="V89" s="499">
        <v>9952.74</v>
      </c>
      <c r="W89" s="319"/>
      <c r="X89" s="499">
        <v>23942.880000000001</v>
      </c>
      <c r="Y89" s="319"/>
      <c r="Z89" s="499">
        <v>53931.35</v>
      </c>
      <c r="AA89" s="319"/>
      <c r="AB89" s="499">
        <v>66695.149999999994</v>
      </c>
      <c r="AC89" s="319"/>
      <c r="AD89" s="499">
        <f>77593.58-3000</f>
        <v>74593.58</v>
      </c>
    </row>
    <row r="90" spans="1:31" x14ac:dyDescent="0.25">
      <c r="A90" s="531"/>
      <c r="B90" s="531"/>
      <c r="C90" s="531" t="s">
        <v>365</v>
      </c>
      <c r="D90" s="531"/>
      <c r="E90" s="531"/>
      <c r="F90" s="531"/>
      <c r="G90" s="531"/>
      <c r="H90" s="499"/>
      <c r="I90" s="319"/>
      <c r="J90" s="499"/>
      <c r="K90" s="319"/>
      <c r="L90" s="499"/>
      <c r="M90" s="319"/>
      <c r="N90" s="499"/>
      <c r="O90" s="319"/>
      <c r="P90" s="499"/>
      <c r="Q90" s="319"/>
      <c r="R90" s="499"/>
      <c r="S90" s="319"/>
      <c r="T90" s="499"/>
      <c r="U90" s="319"/>
      <c r="V90" s="499"/>
      <c r="W90" s="319"/>
      <c r="X90" s="499"/>
      <c r="Y90" s="319"/>
      <c r="Z90" s="499"/>
      <c r="AA90" s="319"/>
      <c r="AB90" s="499"/>
      <c r="AC90" s="319"/>
      <c r="AD90" s="499"/>
    </row>
    <row r="91" spans="1:31" x14ac:dyDescent="0.25">
      <c r="A91" s="531"/>
      <c r="B91" s="531"/>
      <c r="C91" s="531"/>
      <c r="D91" s="531" t="s">
        <v>366</v>
      </c>
      <c r="E91" s="531"/>
      <c r="F91" s="531"/>
      <c r="G91" s="531"/>
      <c r="H91" s="499">
        <v>39047.230000000003</v>
      </c>
      <c r="I91" s="319"/>
      <c r="J91" s="499">
        <v>39047.230000000003</v>
      </c>
      <c r="K91" s="319"/>
      <c r="L91" s="499">
        <v>39047.230000000003</v>
      </c>
      <c r="M91" s="319"/>
      <c r="N91" s="499">
        <v>39047.230000000003</v>
      </c>
      <c r="O91" s="319"/>
      <c r="P91" s="499">
        <v>39047.230000000003</v>
      </c>
      <c r="Q91" s="319"/>
      <c r="R91" s="499">
        <v>39047.230000000003</v>
      </c>
      <c r="S91" s="319"/>
      <c r="T91" s="499">
        <v>39047.230000000003</v>
      </c>
      <c r="U91" s="319"/>
      <c r="V91" s="499">
        <v>39047.230000000003</v>
      </c>
      <c r="W91" s="319"/>
      <c r="X91" s="499">
        <v>39047.230000000003</v>
      </c>
      <c r="Y91" s="319"/>
      <c r="Z91" s="499">
        <v>39047.230000000003</v>
      </c>
      <c r="AA91" s="319"/>
      <c r="AB91" s="499">
        <v>39047.230000000003</v>
      </c>
      <c r="AC91" s="319"/>
      <c r="AD91" s="499">
        <v>39047.230000000003</v>
      </c>
    </row>
    <row r="92" spans="1:31" ht="15.75" thickBot="1" x14ac:dyDescent="0.3">
      <c r="A92" s="531"/>
      <c r="B92" s="531"/>
      <c r="C92" s="531"/>
      <c r="D92" s="531" t="s">
        <v>367</v>
      </c>
      <c r="E92" s="531"/>
      <c r="F92" s="531"/>
      <c r="G92" s="531"/>
      <c r="H92" s="320">
        <v>7046.8</v>
      </c>
      <c r="I92" s="319"/>
      <c r="J92" s="320">
        <v>7046.8</v>
      </c>
      <c r="K92" s="319"/>
      <c r="L92" s="320">
        <v>7046.8</v>
      </c>
      <c r="M92" s="319"/>
      <c r="N92" s="320">
        <v>7046.8</v>
      </c>
      <c r="O92" s="319"/>
      <c r="P92" s="320">
        <v>7046.8</v>
      </c>
      <c r="Q92" s="319"/>
      <c r="R92" s="320">
        <v>7046.8</v>
      </c>
      <c r="S92" s="319"/>
      <c r="T92" s="320">
        <v>8221.7999999999993</v>
      </c>
      <c r="U92" s="319"/>
      <c r="V92" s="320">
        <v>8221.7999999999993</v>
      </c>
      <c r="W92" s="319"/>
      <c r="X92" s="320">
        <v>8221.7999999999993</v>
      </c>
      <c r="Y92" s="319"/>
      <c r="Z92" s="320">
        <v>8221.7999999999993</v>
      </c>
      <c r="AA92" s="319"/>
      <c r="AB92" s="320">
        <v>8221.7999999999993</v>
      </c>
      <c r="AC92" s="319"/>
      <c r="AD92" s="320">
        <v>8221.7999999999993</v>
      </c>
    </row>
    <row r="93" spans="1:31" x14ac:dyDescent="0.25">
      <c r="A93" s="531"/>
      <c r="B93" s="531"/>
      <c r="C93" s="531" t="s">
        <v>368</v>
      </c>
      <c r="D93" s="531"/>
      <c r="E93" s="531"/>
      <c r="F93" s="531"/>
      <c r="G93" s="531"/>
      <c r="H93" s="499">
        <f>ROUND(SUM(H90:H92),5)</f>
        <v>46094.03</v>
      </c>
      <c r="I93" s="319"/>
      <c r="J93" s="499">
        <f>ROUND(SUM(J90:J92),5)</f>
        <v>46094.03</v>
      </c>
      <c r="K93" s="319"/>
      <c r="L93" s="499">
        <f>ROUND(SUM(L90:L92),5)</f>
        <v>46094.03</v>
      </c>
      <c r="M93" s="319"/>
      <c r="N93" s="499">
        <f>ROUND(SUM(N90:N92),5)</f>
        <v>46094.03</v>
      </c>
      <c r="O93" s="319"/>
      <c r="P93" s="499">
        <f>ROUND(SUM(P90:P92),5)</f>
        <v>46094.03</v>
      </c>
      <c r="Q93" s="319"/>
      <c r="R93" s="499">
        <f>ROUND(SUM(R90:R92),5)</f>
        <v>46094.03</v>
      </c>
      <c r="S93" s="319"/>
      <c r="T93" s="499">
        <f>ROUND(SUM(T90:T92),5)</f>
        <v>47269.03</v>
      </c>
      <c r="U93" s="319"/>
      <c r="V93" s="499">
        <f>ROUND(SUM(V90:V92),5)</f>
        <v>47269.03</v>
      </c>
      <c r="W93" s="319"/>
      <c r="X93" s="499">
        <f>ROUND(SUM(X90:X92),5)</f>
        <v>47269.03</v>
      </c>
      <c r="Y93" s="319"/>
      <c r="Z93" s="499">
        <f>ROUND(SUM(Z90:Z92),5)</f>
        <v>47269.03</v>
      </c>
      <c r="AA93" s="319"/>
      <c r="AB93" s="499">
        <f>ROUND(SUM(AB90:AB92),5)</f>
        <v>47269.03</v>
      </c>
      <c r="AC93" s="319"/>
      <c r="AD93" s="499">
        <f>ROUND(SUM(AD90:AD92),5)</f>
        <v>47269.03</v>
      </c>
      <c r="AE93" s="126"/>
    </row>
    <row r="94" spans="1:31" x14ac:dyDescent="0.25">
      <c r="A94" s="531"/>
      <c r="B94" s="531"/>
      <c r="C94" s="531" t="s">
        <v>369</v>
      </c>
      <c r="D94" s="531"/>
      <c r="E94" s="531"/>
      <c r="F94" s="531"/>
      <c r="G94" s="531"/>
      <c r="H94" s="499"/>
      <c r="I94" s="319"/>
      <c r="J94" s="499"/>
      <c r="K94" s="319"/>
      <c r="L94" s="499"/>
      <c r="M94" s="319"/>
      <c r="N94" s="499"/>
      <c r="O94" s="319"/>
      <c r="P94" s="499"/>
      <c r="Q94" s="319"/>
      <c r="R94" s="499"/>
      <c r="S94" s="319"/>
      <c r="T94" s="499"/>
      <c r="U94" s="319"/>
      <c r="V94" s="499"/>
      <c r="W94" s="319"/>
      <c r="X94" s="499"/>
      <c r="Y94" s="319"/>
      <c r="Z94" s="499"/>
      <c r="AA94" s="319"/>
      <c r="AB94" s="499"/>
      <c r="AC94" s="319"/>
      <c r="AD94" s="499"/>
    </row>
    <row r="95" spans="1:31" x14ac:dyDescent="0.25">
      <c r="A95" s="531"/>
      <c r="B95" s="531"/>
      <c r="C95" s="531"/>
      <c r="D95" s="531" t="s">
        <v>370</v>
      </c>
      <c r="E95" s="531"/>
      <c r="F95" s="531"/>
      <c r="G95" s="531"/>
      <c r="H95" s="499">
        <v>92496.49</v>
      </c>
      <c r="I95" s="319"/>
      <c r="J95" s="499">
        <v>93000.19</v>
      </c>
      <c r="K95" s="319"/>
      <c r="L95" s="499">
        <v>95891.49</v>
      </c>
      <c r="M95" s="319"/>
      <c r="N95" s="499">
        <v>97940.24</v>
      </c>
      <c r="O95" s="319"/>
      <c r="P95" s="499">
        <v>99908.94</v>
      </c>
      <c r="Q95" s="319"/>
      <c r="R95" s="499">
        <v>111015.74</v>
      </c>
      <c r="S95" s="319"/>
      <c r="T95" s="499">
        <v>104705.99</v>
      </c>
      <c r="U95" s="319"/>
      <c r="V95" s="499">
        <v>98535.17</v>
      </c>
      <c r="W95" s="319"/>
      <c r="X95" s="499">
        <v>90105.919999999998</v>
      </c>
      <c r="Y95" s="319"/>
      <c r="Z95" s="499">
        <v>80217.5</v>
      </c>
      <c r="AA95" s="319"/>
      <c r="AB95" s="499">
        <v>72952.460000000006</v>
      </c>
      <c r="AC95" s="319"/>
      <c r="AD95" s="499">
        <v>67694.740000000005</v>
      </c>
    </row>
    <row r="96" spans="1:31" x14ac:dyDescent="0.25">
      <c r="A96" s="531"/>
      <c r="B96" s="531"/>
      <c r="C96" s="531"/>
      <c r="D96" s="531" t="s">
        <v>408</v>
      </c>
      <c r="E96" s="531"/>
      <c r="F96" s="531"/>
      <c r="G96" s="531"/>
      <c r="H96" s="499">
        <v>0</v>
      </c>
      <c r="I96" s="319"/>
      <c r="J96" s="499">
        <v>0</v>
      </c>
      <c r="K96" s="319"/>
      <c r="L96" s="499">
        <v>0</v>
      </c>
      <c r="M96" s="319"/>
      <c r="N96" s="499">
        <v>75000</v>
      </c>
      <c r="O96" s="319"/>
      <c r="P96" s="499">
        <v>75000</v>
      </c>
      <c r="Q96" s="319"/>
      <c r="R96" s="499">
        <v>73400</v>
      </c>
      <c r="S96" s="319"/>
      <c r="T96" s="499">
        <v>70454.559999999998</v>
      </c>
      <c r="U96" s="319"/>
      <c r="V96" s="499">
        <v>66672.639999999999</v>
      </c>
      <c r="W96" s="319"/>
      <c r="X96" s="499">
        <v>61111.75</v>
      </c>
      <c r="Y96" s="319"/>
      <c r="Z96" s="499">
        <v>56011.7</v>
      </c>
      <c r="AA96" s="319"/>
      <c r="AB96" s="499">
        <v>50512.94</v>
      </c>
      <c r="AC96" s="319"/>
      <c r="AD96" s="499">
        <v>44872.23</v>
      </c>
    </row>
    <row r="97" spans="1:30" x14ac:dyDescent="0.25">
      <c r="A97" s="531"/>
      <c r="B97" s="531"/>
      <c r="C97" s="531"/>
      <c r="D97" s="531" t="s">
        <v>371</v>
      </c>
      <c r="E97" s="531"/>
      <c r="F97" s="531"/>
      <c r="G97" s="531"/>
      <c r="H97" s="499"/>
      <c r="I97" s="319"/>
      <c r="J97" s="499"/>
      <c r="K97" s="319"/>
      <c r="L97" s="499"/>
      <c r="M97" s="319"/>
      <c r="N97" s="499"/>
      <c r="O97" s="319"/>
      <c r="P97" s="499"/>
      <c r="Q97" s="319"/>
      <c r="R97" s="499"/>
      <c r="S97" s="319"/>
      <c r="T97" s="499"/>
      <c r="U97" s="319"/>
      <c r="V97" s="499"/>
      <c r="W97" s="319"/>
      <c r="X97" s="499"/>
      <c r="Y97" s="319"/>
      <c r="Z97" s="499"/>
      <c r="AA97" s="319"/>
      <c r="AB97" s="499"/>
      <c r="AC97" s="319"/>
      <c r="AD97" s="499"/>
    </row>
    <row r="98" spans="1:30" x14ac:dyDescent="0.25">
      <c r="A98" s="531"/>
      <c r="B98" s="531"/>
      <c r="C98" s="531"/>
      <c r="D98" s="531"/>
      <c r="E98" s="531" t="s">
        <v>372</v>
      </c>
      <c r="F98" s="531"/>
      <c r="G98" s="531"/>
      <c r="H98" s="499">
        <v>108736.68</v>
      </c>
      <c r="I98" s="319"/>
      <c r="J98" s="499">
        <v>105472.76</v>
      </c>
      <c r="K98" s="319"/>
      <c r="L98" s="499">
        <v>102225.52</v>
      </c>
      <c r="M98" s="319"/>
      <c r="N98" s="499">
        <v>98924.96</v>
      </c>
      <c r="O98" s="319"/>
      <c r="P98" s="499">
        <v>95722.55</v>
      </c>
      <c r="Q98" s="319"/>
      <c r="R98" s="499">
        <v>92540.94</v>
      </c>
      <c r="S98" s="319"/>
      <c r="T98" s="499">
        <v>92540.94</v>
      </c>
      <c r="U98" s="319"/>
      <c r="V98" s="499">
        <v>92540.94</v>
      </c>
      <c r="W98" s="319"/>
      <c r="X98" s="499">
        <v>92540.94</v>
      </c>
      <c r="Y98" s="319"/>
      <c r="Z98" s="499">
        <v>92540.94</v>
      </c>
      <c r="AA98" s="319"/>
      <c r="AB98" s="499">
        <v>92540.94</v>
      </c>
      <c r="AC98" s="319"/>
      <c r="AD98" s="499">
        <v>92540.94</v>
      </c>
    </row>
    <row r="99" spans="1:30" x14ac:dyDescent="0.25">
      <c r="A99" s="531"/>
      <c r="B99" s="531"/>
      <c r="C99" s="531"/>
      <c r="D99" s="531"/>
      <c r="E99" s="531" t="s">
        <v>373</v>
      </c>
      <c r="F99" s="531"/>
      <c r="G99" s="531"/>
      <c r="H99" s="499">
        <v>-39602.370000000003</v>
      </c>
      <c r="I99" s="319"/>
      <c r="J99" s="499">
        <v>-49599.41</v>
      </c>
      <c r="K99" s="319"/>
      <c r="L99" s="499">
        <v>-58786.9</v>
      </c>
      <c r="M99" s="319"/>
      <c r="N99" s="499">
        <v>-68119.55</v>
      </c>
      <c r="O99" s="319"/>
      <c r="P99" s="499">
        <v>-77863.39</v>
      </c>
      <c r="Q99" s="319"/>
      <c r="R99" s="499">
        <v>-86027.06</v>
      </c>
      <c r="S99" s="319"/>
      <c r="T99" s="499">
        <v>-88891.21</v>
      </c>
      <c r="U99" s="319"/>
      <c r="V99" s="499">
        <v>-88891.21</v>
      </c>
      <c r="W99" s="319"/>
      <c r="X99" s="499">
        <v>-88891.21</v>
      </c>
      <c r="Y99" s="319"/>
      <c r="Z99" s="499">
        <v>-88891.21</v>
      </c>
      <c r="AA99" s="319"/>
      <c r="AB99" s="499">
        <v>-88891.21</v>
      </c>
      <c r="AC99" s="319"/>
      <c r="AD99" s="499">
        <v>-88891.21</v>
      </c>
    </row>
    <row r="100" spans="1:30" ht="15.75" thickBot="1" x14ac:dyDescent="0.3">
      <c r="A100" s="531"/>
      <c r="B100" s="531"/>
      <c r="C100" s="531"/>
      <c r="D100" s="531"/>
      <c r="E100" s="531" t="s">
        <v>374</v>
      </c>
      <c r="F100" s="531"/>
      <c r="G100" s="531"/>
      <c r="H100" s="320">
        <v>-3134.55</v>
      </c>
      <c r="I100" s="319"/>
      <c r="J100" s="320">
        <v>-3134.55</v>
      </c>
      <c r="K100" s="319"/>
      <c r="L100" s="320">
        <v>-3134.55</v>
      </c>
      <c r="M100" s="319"/>
      <c r="N100" s="320">
        <v>-3649.73</v>
      </c>
      <c r="O100" s="319"/>
      <c r="P100" s="320">
        <v>-3649.73</v>
      </c>
      <c r="Q100" s="319"/>
      <c r="R100" s="320">
        <v>-3649.73</v>
      </c>
      <c r="S100" s="319"/>
      <c r="T100" s="320">
        <v>-3649.73</v>
      </c>
      <c r="U100" s="319"/>
      <c r="V100" s="320">
        <v>-3649.73</v>
      </c>
      <c r="W100" s="319"/>
      <c r="X100" s="320">
        <v>-3649.73</v>
      </c>
      <c r="Y100" s="319"/>
      <c r="Z100" s="320">
        <v>-3649.73</v>
      </c>
      <c r="AA100" s="319"/>
      <c r="AB100" s="320">
        <v>-3649.73</v>
      </c>
      <c r="AC100" s="319"/>
      <c r="AD100" s="320">
        <v>-3649.73</v>
      </c>
    </row>
    <row r="101" spans="1:30" x14ac:dyDescent="0.25">
      <c r="A101" s="531"/>
      <c r="B101" s="531"/>
      <c r="C101" s="531"/>
      <c r="D101" s="531" t="s">
        <v>375</v>
      </c>
      <c r="E101" s="531"/>
      <c r="F101" s="531"/>
      <c r="G101" s="531"/>
      <c r="H101" s="499">
        <f>ROUND(SUM(H97:H100),5)</f>
        <v>65999.759999999995</v>
      </c>
      <c r="I101" s="319"/>
      <c r="J101" s="499">
        <f>ROUND(SUM(J97:J100),5)</f>
        <v>52738.8</v>
      </c>
      <c r="K101" s="319"/>
      <c r="L101" s="499">
        <f>ROUND(SUM(L97:L100),5)</f>
        <v>40304.07</v>
      </c>
      <c r="M101" s="319"/>
      <c r="N101" s="499">
        <f>ROUND(SUM(N97:N100),5)</f>
        <v>27155.68</v>
      </c>
      <c r="O101" s="319"/>
      <c r="P101" s="499">
        <f>ROUND(SUM(P97:P100),5)</f>
        <v>14209.43</v>
      </c>
      <c r="Q101" s="319"/>
      <c r="R101" s="499">
        <f>ROUND(SUM(R97:R100),5)</f>
        <v>2864.15</v>
      </c>
      <c r="S101" s="319"/>
      <c r="T101" s="499">
        <f>ROUND(SUM(T97:T100),5)</f>
        <v>0</v>
      </c>
      <c r="U101" s="319"/>
      <c r="V101" s="499">
        <f>ROUND(SUM(V97:V100),5)</f>
        <v>0</v>
      </c>
      <c r="W101" s="319"/>
      <c r="X101" s="499">
        <f>ROUND(SUM(X97:X100),5)</f>
        <v>0</v>
      </c>
      <c r="Y101" s="319"/>
      <c r="Z101" s="499">
        <f>ROUND(SUM(Z97:Z100),5)</f>
        <v>0</v>
      </c>
      <c r="AA101" s="319"/>
      <c r="AB101" s="499">
        <f>ROUND(SUM(AB97:AB100),5)</f>
        <v>0</v>
      </c>
      <c r="AC101" s="319"/>
      <c r="AD101" s="499">
        <f>ROUND(SUM(AD97:AD100),5)</f>
        <v>0</v>
      </c>
    </row>
    <row r="102" spans="1:30" ht="15.75" thickBot="1" x14ac:dyDescent="0.3">
      <c r="A102" s="531"/>
      <c r="B102" s="531"/>
      <c r="C102" s="531"/>
      <c r="D102" s="531" t="s">
        <v>418</v>
      </c>
      <c r="E102" s="531"/>
      <c r="F102" s="531"/>
      <c r="G102" s="531"/>
      <c r="H102" s="320">
        <v>0</v>
      </c>
      <c r="I102" s="319"/>
      <c r="J102" s="320">
        <v>0</v>
      </c>
      <c r="K102" s="319"/>
      <c r="L102" s="320">
        <v>0</v>
      </c>
      <c r="M102" s="319"/>
      <c r="N102" s="320">
        <v>0</v>
      </c>
      <c r="O102" s="319"/>
      <c r="P102" s="320">
        <v>0</v>
      </c>
      <c r="Q102" s="319"/>
      <c r="R102" s="320">
        <v>0</v>
      </c>
      <c r="S102" s="319"/>
      <c r="T102" s="320">
        <v>15000</v>
      </c>
      <c r="U102" s="319"/>
      <c r="V102" s="320">
        <v>15000</v>
      </c>
      <c r="W102" s="319"/>
      <c r="X102" s="320">
        <v>15000</v>
      </c>
      <c r="Y102" s="319"/>
      <c r="Z102" s="320">
        <v>0</v>
      </c>
      <c r="AA102" s="319"/>
      <c r="AB102" s="320">
        <v>0</v>
      </c>
      <c r="AC102" s="319"/>
      <c r="AD102" s="320">
        <v>3000</v>
      </c>
    </row>
    <row r="103" spans="1:30" x14ac:dyDescent="0.25">
      <c r="A103" s="531"/>
      <c r="B103" s="531"/>
      <c r="C103" s="531" t="s">
        <v>376</v>
      </c>
      <c r="D103" s="531"/>
      <c r="E103" s="531"/>
      <c r="F103" s="531"/>
      <c r="G103" s="531"/>
      <c r="H103" s="499">
        <f>ROUND(SUM(H94:H96)+SUM(H101:H102),5)</f>
        <v>158496.25</v>
      </c>
      <c r="I103" s="319"/>
      <c r="J103" s="499">
        <f>ROUND(SUM(J94:J96)+SUM(J101:J102),5)</f>
        <v>145738.99</v>
      </c>
      <c r="K103" s="319"/>
      <c r="L103" s="499">
        <f>ROUND(SUM(L94:L96)+SUM(L101:L102),5)</f>
        <v>136195.56</v>
      </c>
      <c r="M103" s="319"/>
      <c r="N103" s="499">
        <f>ROUND(SUM(N94:N96)+SUM(N101:N102),5)</f>
        <v>200095.92</v>
      </c>
      <c r="O103" s="319"/>
      <c r="P103" s="499">
        <f>ROUND(SUM(P94:P96)+SUM(P101:P102),5)</f>
        <v>189118.37</v>
      </c>
      <c r="Q103" s="319"/>
      <c r="R103" s="499">
        <f>ROUND(SUM(R94:R96)+SUM(R101:R102),5)</f>
        <v>187279.89</v>
      </c>
      <c r="S103" s="319"/>
      <c r="T103" s="499">
        <f>ROUND(SUM(T94:T96)+SUM(T101:T102),5)</f>
        <v>190160.55</v>
      </c>
      <c r="U103" s="319"/>
      <c r="V103" s="499">
        <f>ROUND(SUM(V94:V96)+SUM(V101:V102),5)</f>
        <v>180207.81</v>
      </c>
      <c r="W103" s="319"/>
      <c r="X103" s="499">
        <f>ROUND(SUM(X94:X96)+SUM(X101:X102),5)</f>
        <v>166217.67000000001</v>
      </c>
      <c r="Y103" s="319"/>
      <c r="Z103" s="499">
        <f>ROUND(SUM(Z94:Z96)+SUM(Z101:Z102),5)</f>
        <v>136229.20000000001</v>
      </c>
      <c r="AA103" s="319"/>
      <c r="AB103" s="499">
        <f>ROUND(SUM(AB94:AB96)+SUM(AB101:AB102),5)</f>
        <v>123465.4</v>
      </c>
      <c r="AC103" s="319"/>
      <c r="AD103" s="499">
        <f>ROUND(SUM(AD94:AD96)+SUM(AD101:AD102),5)</f>
        <v>115566.97</v>
      </c>
    </row>
    <row r="104" spans="1:30" ht="15.75" thickBot="1" x14ac:dyDescent="0.3">
      <c r="A104" s="531"/>
      <c r="B104" s="531"/>
      <c r="C104" s="531" t="s">
        <v>197</v>
      </c>
      <c r="D104" s="531"/>
      <c r="E104" s="531"/>
      <c r="F104" s="531"/>
      <c r="G104" s="531"/>
      <c r="H104" s="497">
        <v>-139560.78</v>
      </c>
      <c r="I104" s="319"/>
      <c r="J104" s="497">
        <v>-166215.10999999999</v>
      </c>
      <c r="K104" s="319"/>
      <c r="L104" s="497">
        <v>-170563.68</v>
      </c>
      <c r="M104" s="319"/>
      <c r="N104" s="497">
        <v>-122568.7</v>
      </c>
      <c r="O104" s="319"/>
      <c r="P104" s="497">
        <v>-147110.01999999999</v>
      </c>
      <c r="Q104" s="319"/>
      <c r="R104" s="497">
        <v>-146120.29999999999</v>
      </c>
      <c r="S104" s="319"/>
      <c r="T104" s="497">
        <v>-149598.82</v>
      </c>
      <c r="U104" s="319"/>
      <c r="V104" s="497">
        <v>-20098.919999999998</v>
      </c>
      <c r="W104" s="319"/>
      <c r="X104" s="497">
        <v>-51956.99</v>
      </c>
      <c r="Y104" s="319"/>
      <c r="Z104" s="497">
        <v>-72706.17</v>
      </c>
      <c r="AA104" s="319"/>
      <c r="AB104" s="497">
        <v>-104440.86</v>
      </c>
      <c r="AC104" s="319"/>
      <c r="AD104" s="497">
        <v>-127852.64</v>
      </c>
    </row>
    <row r="105" spans="1:30" ht="15.75" thickBot="1" x14ac:dyDescent="0.3">
      <c r="A105" s="531"/>
      <c r="B105" s="531" t="s">
        <v>322</v>
      </c>
      <c r="C105" s="531"/>
      <c r="D105" s="531"/>
      <c r="E105" s="531"/>
      <c r="F105" s="531"/>
      <c r="G105" s="531"/>
      <c r="H105" s="322">
        <f>ROUND(SUM(H88:H89)+H93+SUM(H103:H104),5)</f>
        <v>247467.62</v>
      </c>
      <c r="I105" s="319"/>
      <c r="J105" s="322">
        <f>ROUND(SUM(J88:J89)+J93+SUM(J103:J104),5)</f>
        <v>220813.29</v>
      </c>
      <c r="K105" s="319"/>
      <c r="L105" s="322">
        <f>ROUND(SUM(L88:L89)+L93+SUM(L103:L104),5)</f>
        <v>216464.72</v>
      </c>
      <c r="M105" s="319"/>
      <c r="N105" s="322">
        <f>ROUND(SUM(N88:N89)+N93+SUM(N103:N104),5)</f>
        <v>264459.7</v>
      </c>
      <c r="O105" s="319"/>
      <c r="P105" s="322">
        <f>ROUND(SUM(P88:P89)+P93+SUM(P103:P104),5)</f>
        <v>239918.38</v>
      </c>
      <c r="Q105" s="319"/>
      <c r="R105" s="322">
        <f>ROUND(SUM(R88:R89)+R93+SUM(R103:R104),5)</f>
        <v>240908.1</v>
      </c>
      <c r="S105" s="319"/>
      <c r="T105" s="322">
        <f>ROUND(SUM(T88:T89)+T93+SUM(T103:T104),5)</f>
        <v>237429.58</v>
      </c>
      <c r="U105" s="319"/>
      <c r="V105" s="322">
        <f>ROUND(SUM(V88:V89)+V93+SUM(V103:V104),5)</f>
        <v>217330.66</v>
      </c>
      <c r="W105" s="319"/>
      <c r="X105" s="322">
        <f>ROUND(SUM(X88:X89)+X93+SUM(X103:X104),5)</f>
        <v>185472.59</v>
      </c>
      <c r="Y105" s="319"/>
      <c r="Z105" s="322">
        <f>ROUND(SUM(Z88:Z89)+Z93+SUM(Z103:Z104),5)</f>
        <v>164723.41</v>
      </c>
      <c r="AA105" s="319"/>
      <c r="AB105" s="322">
        <f>ROUND(SUM(AB88:AB89)+AB93+SUM(AB103:AB104),5)</f>
        <v>132988.72</v>
      </c>
      <c r="AC105" s="319"/>
      <c r="AD105" s="322">
        <f>ROUND(SUM(AD88:AD89)+AD93+SUM(AD103:AD104),5)</f>
        <v>109576.94</v>
      </c>
    </row>
    <row r="106" spans="1:30" ht="15.75" thickBot="1" x14ac:dyDescent="0.3">
      <c r="A106" s="531" t="s">
        <v>323</v>
      </c>
      <c r="B106" s="531"/>
      <c r="C106" s="531"/>
      <c r="D106" s="531"/>
      <c r="E106" s="531"/>
      <c r="F106" s="531"/>
      <c r="G106" s="531"/>
      <c r="H106" s="323">
        <f>ROUND(H34+H87+H105,5)</f>
        <v>466279.89</v>
      </c>
      <c r="I106" s="531"/>
      <c r="J106" s="323">
        <f>ROUND(J34+J87+J105,5)</f>
        <v>472233.6</v>
      </c>
      <c r="K106" s="531"/>
      <c r="L106" s="323">
        <f>ROUND(L34+L87+L105,5)</f>
        <v>500331.9</v>
      </c>
      <c r="M106" s="531"/>
      <c r="N106" s="323">
        <f>ROUND(N34+N87+N105,5)</f>
        <v>447227.36</v>
      </c>
      <c r="O106" s="531"/>
      <c r="P106" s="323">
        <f>ROUND(P34+P87+P105,5)</f>
        <v>442264.82</v>
      </c>
      <c r="Q106" s="531"/>
      <c r="R106" s="323">
        <f>ROUND(R34+R87+R105,5)</f>
        <v>424304.66</v>
      </c>
      <c r="S106" s="531"/>
      <c r="T106" s="323">
        <f>ROUND(T34+T87+T105,5)</f>
        <v>373578.43</v>
      </c>
      <c r="U106" s="531"/>
      <c r="V106" s="323">
        <f>ROUND(V34+V87+V105,5)</f>
        <v>385290.11</v>
      </c>
      <c r="W106" s="531"/>
      <c r="X106" s="323">
        <f>ROUND(X34+X87+X105,5)</f>
        <v>402359.46</v>
      </c>
      <c r="Y106" s="531"/>
      <c r="Z106" s="323">
        <f>ROUND(Z34+Z87+Z105,5)</f>
        <v>411823.21</v>
      </c>
      <c r="AA106" s="531"/>
      <c r="AB106" s="323">
        <f>ROUND(AB34+AB87+AB105,5)</f>
        <v>314975.05</v>
      </c>
      <c r="AC106" s="531"/>
      <c r="AD106" s="323">
        <f>ROUND(AD34+AD87+AD105,5)</f>
        <v>310664.75</v>
      </c>
    </row>
    <row r="107" spans="1:30" ht="15.75" thickTop="1" x14ac:dyDescent="0.25"/>
  </sheetData>
  <pageMargins left="0.2" right="0.2" top="0.75" bottom="0.5" header="0.1" footer="0.3"/>
  <pageSetup scale="90" orientation="portrait" r:id="rId1"/>
  <headerFooter>
    <oddHeader>&amp;L&amp;"Arial,Bold"&amp;8 5:08 PM
 12/31/18
 Accrual Basis&amp;C&amp;"Arial,Bold"&amp;12 League of Women Voters of California Education Fund
&amp;14 Statement of Financial Position
&amp;10 As of November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403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4034" r:id="rId4" name="HEADER"/>
      </mc:Fallback>
    </mc:AlternateContent>
    <mc:AlternateContent xmlns:mc="http://schemas.openxmlformats.org/markup-compatibility/2006">
      <mc:Choice Requires="x14">
        <control shapeId="4403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4033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Summary Reports</vt:lpstr>
      <vt:lpstr>LWVC Summary</vt:lpstr>
      <vt:lpstr>LWVC-Stmt of Act. by Class</vt:lpstr>
      <vt:lpstr>LWVC-Stmt of Activities by Mth</vt:lpstr>
      <vt:lpstr>LWVC-Stmt of Fin. Postn. by Mth</vt:lpstr>
      <vt:lpstr>LWVCEF Summary</vt:lpstr>
      <vt:lpstr>LWVCEF-Stmt of Activ. by Class</vt:lpstr>
      <vt:lpstr>LWVCEF-Stmt. of Act. by Month</vt:lpstr>
      <vt:lpstr>LWVCEF-Stmt of Fin. Pos. by mth</vt:lpstr>
      <vt:lpstr>FASB117 </vt:lpstr>
      <vt:lpstr>'FASB117 '!Print_Area</vt:lpstr>
      <vt:lpstr>'FASB117 '!Print_Titles</vt:lpstr>
      <vt:lpstr>'LWVCEF-Stmt of Activ. by Class'!Print_Titles</vt:lpstr>
      <vt:lpstr>'LWVCEF-Stmt of Fin. Pos. by mth'!Print_Titles</vt:lpstr>
      <vt:lpstr>'LWVCEF-Stmt. of Act. by Month'!Print_Titles</vt:lpstr>
      <vt:lpstr>'LWVC-Stmt of Act. by Class'!Print_Titles</vt:lpstr>
      <vt:lpstr>'LWVC-Stmt of Activities by Mth'!Print_Titles</vt:lpstr>
      <vt:lpstr>'LWVC-Stmt of Fin. Postn. by Mth'!Print_Titles</vt:lpstr>
    </vt:vector>
  </TitlesOfParts>
  <Company>SCanfield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Canfield</dc:creator>
  <cp:lastModifiedBy>Jacquie</cp:lastModifiedBy>
  <cp:lastPrinted>2019-10-01T18:53:00Z</cp:lastPrinted>
  <dcterms:created xsi:type="dcterms:W3CDTF">2017-09-08T17:45:43Z</dcterms:created>
  <dcterms:modified xsi:type="dcterms:W3CDTF">2020-01-10T20:30:49Z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{E09BEB6E-A823-4FAC-B5E4-9F86D91FDA45}</vt:lpwstr>
  </property>
</Properties>
</file>