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1745" windowHeight="9945" tabRatio="883"/>
  </bookViews>
  <sheets>
    <sheet name="Summary Reports" sheetId="2" r:id="rId1"/>
    <sheet name="LWVC Summary" sheetId="6" r:id="rId2"/>
    <sheet name="LWVC-Stmt of Act. by Class" sheetId="7" r:id="rId3"/>
    <sheet name="LWVC-Stmt of Act.byClassBudget" sheetId="38" r:id="rId4"/>
    <sheet name="LWVC-Stmt of Activities by Mth" sheetId="23" r:id="rId5"/>
    <sheet name="LWVC-Stmt of Fin. Postn. by Mth" sheetId="19" r:id="rId6"/>
    <sheet name="LWVCEF Summary" sheetId="5" r:id="rId7"/>
    <sheet name="LWVCEF-Stmt.of Act. By Class" sheetId="37" r:id="rId8"/>
    <sheet name="LWVCEF-StmtofActbyClasswBudget" sheetId="36" r:id="rId9"/>
    <sheet name="LWVCEF-Stmt. of Act. by Month" sheetId="26" r:id="rId10"/>
    <sheet name="LWVCEF-Stmt of Fin. Pos. by mth" sheetId="21" r:id="rId11"/>
    <sheet name="FASB117 " sheetId="24" r:id="rId12"/>
  </sheets>
  <externalReferences>
    <externalReference r:id="rId13"/>
    <externalReference r:id="rId14"/>
  </externalReferences>
  <definedNames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1">'FASB117 '!$A$1:$L$51</definedName>
    <definedName name="_xlnm.Print_Titles" localSheetId="11">'FASB117 '!$A:$G,'FASB117 '!$1:$1</definedName>
    <definedName name="_xlnm.Print_Titles" localSheetId="10">'LWVCEF-Stmt of Fin. Pos. by mth'!$A:$F,'LWVCEF-Stmt of Fin. Pos. by mth'!$1:$1</definedName>
    <definedName name="_xlnm.Print_Titles" localSheetId="9">'LWVCEF-Stmt. of Act. by Month'!$A:$G,'LWVCEF-Stmt. of Act. by Month'!$1:$1</definedName>
    <definedName name="_xlnm.Print_Titles" localSheetId="2">'LWVC-Stmt of Act. by Class'!$A:$G,'LWVC-Stmt of Act. by Class'!$1:$3</definedName>
    <definedName name="_xlnm.Print_Titles" localSheetId="4">'LWVC-Stmt of Activities by Mth'!$A:$G,'LWVC-Stmt of Activities by Mth'!$1:$1</definedName>
    <definedName name="_xlnm.Print_Titles" localSheetId="5">'LWVC-Stmt of Fin. Postn. by Mth'!$A:$G,'LWVC-Stmt of Fin. Postn. by Mth'!$1:$1</definedName>
    <definedName name="QB_COLUMN_192300" localSheetId="2" hidden="1">'LWVC-Stmt of Act. by Class'!#REF!</definedName>
    <definedName name="QB_COLUMN_192301" localSheetId="2" hidden="1">'LWVC-Stmt of Act. by Class'!#REF!</definedName>
    <definedName name="QB_COLUMN_193200" localSheetId="2" hidden="1">'LWVC-Stmt of Act. by Class'!#REF!</definedName>
    <definedName name="QB_COLUMN_193201" localSheetId="2" hidden="1">'LWVC-Stmt of Act. by Class'!#REF!</definedName>
    <definedName name="QB_COLUMN_212200" localSheetId="2" hidden="1">'LWVC-Stmt of Act. by Class'!#REF!</definedName>
    <definedName name="QB_COLUMN_212201" localSheetId="2" hidden="1">'LWVC-Stmt of Act. by Class'!#REF!</definedName>
    <definedName name="QB_COLUMN_213101" localSheetId="2" hidden="1">'LWVC-Stmt of Act. by Class'!#REF!</definedName>
    <definedName name="QB_COLUMN_222200" localSheetId="2" hidden="1">'LWVC-Stmt of Act. by Class'!#REF!</definedName>
    <definedName name="QB_COLUMN_222201" localSheetId="2" hidden="1">'LWVC-Stmt of Act. by Class'!#REF!</definedName>
    <definedName name="QB_COLUMN_22300" localSheetId="2" hidden="1">'LWVC-Stmt of Act. by Class'!#REF!</definedName>
    <definedName name="QB_COLUMN_22301" localSheetId="2" hidden="1">'LWVC-Stmt of Act. by Class'!#REF!</definedName>
    <definedName name="QB_COLUMN_23200" localSheetId="2" hidden="1">'LWVC-Stmt of Act. by Class'!#REF!</definedName>
    <definedName name="QB_COLUMN_23201" localSheetId="2" hidden="1">'LWVC-Stmt of Act. by Class'!#REF!</definedName>
    <definedName name="QB_COLUMN_242300" localSheetId="2" hidden="1">'LWVC-Stmt of Act. by Class'!#REF!</definedName>
    <definedName name="QB_COLUMN_242301" localSheetId="2" hidden="1">'LWVC-Stmt of Act. by Class'!#REF!</definedName>
    <definedName name="QB_COLUMN_29" localSheetId="11" hidden="1">'FASB117 '!$H$1</definedName>
    <definedName name="QB_COLUMN_2920" localSheetId="10" hidden="1">'LWVCEF-Stmt of Fin. Pos. by mth'!$G$1</definedName>
    <definedName name="QB_COLUMN_2920" localSheetId="5" hidden="1">'LWVC-Stmt of Fin. Postn. by Mth'!$H$1</definedName>
    <definedName name="QB_COLUMN_2921" localSheetId="10" hidden="1">'LWVCEF-Stmt of Fin. Pos. by mth'!$I$1</definedName>
    <definedName name="QB_COLUMN_2921" localSheetId="9" hidden="1">'LWVCEF-Stmt. of Act. by Month'!$H$1</definedName>
    <definedName name="QB_COLUMN_2921" localSheetId="4" hidden="1">'LWVC-Stmt of Activities by Mth'!$H$1</definedName>
    <definedName name="QB_COLUMN_2921" localSheetId="5" hidden="1">'LWVC-Stmt of Fin. Postn. by Mth'!$J$1</definedName>
    <definedName name="QB_COLUMN_29210" localSheetId="10" hidden="1">'LWVCEF-Stmt of Fin. Pos. by mth'!$AA$1</definedName>
    <definedName name="QB_COLUMN_29210" localSheetId="9" hidden="1">'LWVCEF-Stmt. of Act. by Month'!$Z$1</definedName>
    <definedName name="QB_COLUMN_29210" localSheetId="4" hidden="1">'LWVC-Stmt of Activities by Mth'!$Z$1</definedName>
    <definedName name="QB_COLUMN_29210" localSheetId="5" hidden="1">'LWVC-Stmt of Fin. Postn. by Mth'!$AB$1</definedName>
    <definedName name="QB_COLUMN_29211" localSheetId="10" hidden="1">'LWVCEF-Stmt of Fin. Pos. by mth'!$AC$1</definedName>
    <definedName name="QB_COLUMN_29211" localSheetId="9" hidden="1">'LWVCEF-Stmt. of Act. by Month'!$AB$1</definedName>
    <definedName name="QB_COLUMN_29211" localSheetId="4" hidden="1">'LWVC-Stmt of Activities by Mth'!$AB$1</definedName>
    <definedName name="QB_COLUMN_29211" localSheetId="5" hidden="1">'LWVC-Stmt of Fin. Postn. by Mth'!$AD$1</definedName>
    <definedName name="QB_COLUMN_29212" localSheetId="9" hidden="1">'LWVCEF-Stmt. of Act. by Month'!$AD$1</definedName>
    <definedName name="QB_COLUMN_29212" localSheetId="4" hidden="1">'LWVC-Stmt of Activities by Mth'!$AD$1</definedName>
    <definedName name="QB_COLUMN_2922" localSheetId="10" hidden="1">'LWVCEF-Stmt of Fin. Pos. by mth'!$K$1</definedName>
    <definedName name="QB_COLUMN_2922" localSheetId="9" hidden="1">'LWVCEF-Stmt. of Act. by Month'!$J$1</definedName>
    <definedName name="QB_COLUMN_2922" localSheetId="4" hidden="1">'LWVC-Stmt of Activities by Mth'!$J$1</definedName>
    <definedName name="QB_COLUMN_2922" localSheetId="5" hidden="1">'LWVC-Stmt of Fin. Postn. by Mth'!$L$1</definedName>
    <definedName name="QB_COLUMN_2923" localSheetId="10" hidden="1">'LWVCEF-Stmt of Fin. Pos. by mth'!$M$1</definedName>
    <definedName name="QB_COLUMN_2923" localSheetId="9" hidden="1">'LWVCEF-Stmt. of Act. by Month'!$L$1</definedName>
    <definedName name="QB_COLUMN_2923" localSheetId="4" hidden="1">'LWVC-Stmt of Activities by Mth'!$L$1</definedName>
    <definedName name="QB_COLUMN_2923" localSheetId="5" hidden="1">'LWVC-Stmt of Fin. Postn. by Mth'!$N$1</definedName>
    <definedName name="QB_COLUMN_2924" localSheetId="10" hidden="1">'LWVCEF-Stmt of Fin. Pos. by mth'!$O$1</definedName>
    <definedName name="QB_COLUMN_2924" localSheetId="9" hidden="1">'LWVCEF-Stmt. of Act. by Month'!$N$1</definedName>
    <definedName name="QB_COLUMN_2924" localSheetId="4" hidden="1">'LWVC-Stmt of Activities by Mth'!$N$1</definedName>
    <definedName name="QB_COLUMN_2924" localSheetId="5" hidden="1">'LWVC-Stmt of Fin. Postn. by Mth'!$P$1</definedName>
    <definedName name="QB_COLUMN_2925" localSheetId="10" hidden="1">'LWVCEF-Stmt of Fin. Pos. by mth'!$Q$1</definedName>
    <definedName name="QB_COLUMN_2925" localSheetId="9" hidden="1">'LWVCEF-Stmt. of Act. by Month'!$P$1</definedName>
    <definedName name="QB_COLUMN_2925" localSheetId="4" hidden="1">'LWVC-Stmt of Activities by Mth'!$P$1</definedName>
    <definedName name="QB_COLUMN_2925" localSheetId="5" hidden="1">'LWVC-Stmt of Fin. Postn. by Mth'!$R$1</definedName>
    <definedName name="QB_COLUMN_2926" localSheetId="10" hidden="1">'LWVCEF-Stmt of Fin. Pos. by mth'!$S$1</definedName>
    <definedName name="QB_COLUMN_2926" localSheetId="9" hidden="1">'LWVCEF-Stmt. of Act. by Month'!$R$1</definedName>
    <definedName name="QB_COLUMN_2926" localSheetId="4" hidden="1">'LWVC-Stmt of Activities by Mth'!$R$1</definedName>
    <definedName name="QB_COLUMN_2926" localSheetId="5" hidden="1">'LWVC-Stmt of Fin. Postn. by Mth'!$T$1</definedName>
    <definedName name="QB_COLUMN_2927" localSheetId="10" hidden="1">'LWVCEF-Stmt of Fin. Pos. by mth'!$U$1</definedName>
    <definedName name="QB_COLUMN_2927" localSheetId="9" hidden="1">'LWVCEF-Stmt. of Act. by Month'!$T$1</definedName>
    <definedName name="QB_COLUMN_2927" localSheetId="4" hidden="1">'LWVC-Stmt of Activities by Mth'!$T$1</definedName>
    <definedName name="QB_COLUMN_2927" localSheetId="5" hidden="1">'LWVC-Stmt of Fin. Postn. by Mth'!$V$1</definedName>
    <definedName name="QB_COLUMN_2928" localSheetId="10" hidden="1">'LWVCEF-Stmt of Fin. Pos. by mth'!$W$1</definedName>
    <definedName name="QB_COLUMN_2928" localSheetId="9" hidden="1">'LWVCEF-Stmt. of Act. by Month'!$V$1</definedName>
    <definedName name="QB_COLUMN_2928" localSheetId="4" hidden="1">'LWVC-Stmt of Activities by Mth'!$V$1</definedName>
    <definedName name="QB_COLUMN_2928" localSheetId="5" hidden="1">'LWVC-Stmt of Fin. Postn. by Mth'!$X$1</definedName>
    <definedName name="QB_COLUMN_2929" localSheetId="10" hidden="1">'LWVCEF-Stmt of Fin. Pos. by mth'!$Y$1</definedName>
    <definedName name="QB_COLUMN_2929" localSheetId="9" hidden="1">'LWVCEF-Stmt. of Act. by Month'!$X$1</definedName>
    <definedName name="QB_COLUMN_2929" localSheetId="4" hidden="1">'LWVC-Stmt of Activities by Mth'!$X$1</definedName>
    <definedName name="QB_COLUMN_2929" localSheetId="5" hidden="1">'LWVC-Stmt of Fin. Postn. by Mth'!$Z$1</definedName>
    <definedName name="QB_COLUMN_2930" localSheetId="9" hidden="1">'LWVCEF-Stmt. of Act. by Month'!$AF$1</definedName>
    <definedName name="QB_COLUMN_2930" localSheetId="4" hidden="1">'LWVC-Stmt of Activities by Mth'!$AF$1</definedName>
    <definedName name="QB_COLUMN_312200" localSheetId="2" hidden="1">'LWVC-Stmt of Act. by Class'!#REF!</definedName>
    <definedName name="QB_COLUMN_312201" localSheetId="2" hidden="1">'LWVC-Stmt of Act. by Class'!#REF!</definedName>
    <definedName name="QB_COLUMN_32101" localSheetId="2" hidden="1">'LWVC-Stmt of Act. by Class'!#REF!</definedName>
    <definedName name="QB_COLUMN_423011" localSheetId="2" hidden="1">'LWVC-Stmt of Act. by Class'!#REF!</definedName>
    <definedName name="QB_COLUMN_452111" localSheetId="2" hidden="1">'LWVC-Stmt of Act. by Class'!#REF!</definedName>
    <definedName name="QB_COLUMN_453200" localSheetId="2" hidden="1">'LWVC-Stmt of Act. by Class'!#REF!</definedName>
    <definedName name="QB_COLUMN_453201" localSheetId="2" hidden="1">'LWVC-Stmt of Act. by Class'!#REF!</definedName>
    <definedName name="QB_COLUMN_532200" localSheetId="2" hidden="1">'LWVC-Stmt of Act. by Class'!#REF!</definedName>
    <definedName name="QB_COLUMN_532201" localSheetId="2" hidden="1">'LWVC-Stmt of Act. by Class'!#REF!</definedName>
    <definedName name="QB_COLUMN_542200" localSheetId="2" hidden="1">'LWVC-Stmt of Act. by Class'!#REF!</definedName>
    <definedName name="QB_COLUMN_542201" localSheetId="2" hidden="1">'LWVC-Stmt of Act. by Class'!#REF!</definedName>
    <definedName name="QB_COLUMN_552300" localSheetId="2" hidden="1">'LWVC-Stmt of Act. by Class'!#REF!</definedName>
    <definedName name="QB_COLUMN_552301" localSheetId="2" hidden="1">'LWVC-Stmt of Act. by Class'!#REF!</definedName>
    <definedName name="QB_COLUMN_553200" localSheetId="2" hidden="1">'LWVC-Stmt of Act. by Class'!#REF!</definedName>
    <definedName name="QB_COLUMN_553201" localSheetId="2" hidden="1">'LWVC-Stmt of Act. by Class'!#REF!</definedName>
    <definedName name="QB_COLUMN_563101" localSheetId="2" hidden="1">'LWVC-Stmt of Act. by Class'!#REF!</definedName>
    <definedName name="QB_COLUMN_573101" localSheetId="2" hidden="1">'LWVC-Stmt of Act. by Class'!#REF!</definedName>
    <definedName name="QB_COLUMN_592019" localSheetId="2" hidden="1">'LWVC-Stmt of Act. by Class'!#REF!</definedName>
    <definedName name="QB_COLUMN_59202" localSheetId="2" hidden="1">'LWVC-Stmt of Act. by Class'!#REF!</definedName>
    <definedName name="QB_COLUMN_592021" localSheetId="2" hidden="1">'LWVC-Stmt of Act. by Class'!#REF!</definedName>
    <definedName name="QB_COLUMN_592022" localSheetId="2" hidden="1">'LWVC-Stmt of Act. by Class'!#REF!</definedName>
    <definedName name="QB_COLUMN_592024" localSheetId="2" hidden="1">'LWVC-Stmt of Act. by Class'!#REF!</definedName>
    <definedName name="QB_COLUMN_59203" localSheetId="2" hidden="1">'LWVC-Stmt of Act. by Class'!#REF!</definedName>
    <definedName name="QB_COLUMN_592031" localSheetId="2" hidden="1">'LWVC-Stmt of Act. by Class'!#REF!</definedName>
    <definedName name="QB_COLUMN_592053" localSheetId="2" hidden="1">'LWVC-Stmt of Act. by Class'!#REF!</definedName>
    <definedName name="QB_COLUMN_592054" localSheetId="2" hidden="1">'LWVC-Stmt of Act. by Class'!#REF!</definedName>
    <definedName name="QB_COLUMN_592055" localSheetId="2" hidden="1">'LWVC-Stmt of Act. by Class'!#REF!</definedName>
    <definedName name="QB_COLUMN_592061" localSheetId="2" hidden="1">'LWVC-Stmt of Act. by Class'!#REF!</definedName>
    <definedName name="QB_COLUMN_592064" localSheetId="2" hidden="1">'LWVC-Stmt of Act. by Class'!#REF!</definedName>
    <definedName name="QB_COLUMN_592065" localSheetId="2" hidden="1">'LWVC-Stmt of Act. by Class'!#REF!</definedName>
    <definedName name="QB_COLUMN_592067" localSheetId="2" hidden="1">'LWVC-Stmt of Act. by Class'!#REF!</definedName>
    <definedName name="QB_COLUMN_592068" localSheetId="2" hidden="1">'LWVC-Stmt of Act. by Class'!#REF!</definedName>
    <definedName name="QB_COLUMN_592072" localSheetId="2" hidden="1">'LWVC-Stmt of Act. by Class'!#REF!</definedName>
    <definedName name="QB_COLUMN_59300" localSheetId="2" hidden="1">'LWVC-Stmt of Act. by Class'!#REF!</definedName>
    <definedName name="QB_COLUMN_593019" localSheetId="2" hidden="1">'LWVC-Stmt of Act. by Class'!#REF!</definedName>
    <definedName name="QB_COLUMN_59302" localSheetId="2" hidden="1">'LWVC-Stmt of Act. by Class'!#REF!</definedName>
    <definedName name="QB_COLUMN_593021" localSheetId="2" hidden="1">'LWVC-Stmt of Act. by Class'!#REF!</definedName>
    <definedName name="QB_COLUMN_593045" localSheetId="2" hidden="1">'LWVC-Stmt of Act. by Class'!#REF!</definedName>
    <definedName name="QB_COLUMN_593055" localSheetId="2" hidden="1">'LWVC-Stmt of Act. by Class'!#REF!</definedName>
    <definedName name="QB_COLUMN_593056" localSheetId="2" hidden="1">'LWVC-Stmt of Act. by Class'!#REF!</definedName>
    <definedName name="QB_COLUMN_593057" localSheetId="2" hidden="1">'LWVC-Stmt of Act. by Class'!#REF!</definedName>
    <definedName name="QB_COLUMN_612200" localSheetId="2" hidden="1">'LWVC-Stmt of Act. by Class'!#REF!</definedName>
    <definedName name="QB_COLUMN_612201" localSheetId="2" hidden="1">'LWVC-Stmt of Act. by Class'!#REF!</definedName>
    <definedName name="QB_COLUMN_642300" localSheetId="2" hidden="1">'LWVC-Stmt of Act. by Class'!#REF!</definedName>
    <definedName name="QB_COLUMN_642301" localSheetId="2" hidden="1">'LWVC-Stmt of Act. by Class'!#REF!</definedName>
    <definedName name="QB_COLUMN_652300" localSheetId="2" hidden="1">'LWVC-Stmt of Act. by Class'!#REF!</definedName>
    <definedName name="QB_COLUMN_652301" localSheetId="2" hidden="1">'LWVC-Stmt of Act. by Class'!#REF!</definedName>
    <definedName name="QB_COLUMN_672300" localSheetId="2" hidden="1">'LWVC-Stmt of Act. by Class'!#REF!</definedName>
    <definedName name="QB_COLUMN_672301" localSheetId="2" hidden="1">'LWVC-Stmt of Act. by Class'!#REF!</definedName>
    <definedName name="QB_COLUMN_682300" localSheetId="2" hidden="1">'LWVC-Stmt of Act. by Class'!#REF!</definedName>
    <definedName name="QB_COLUMN_682301" localSheetId="2" hidden="1">'LWVC-Stmt of Act. by Class'!#REF!</definedName>
    <definedName name="QB_COLUMN_762119" localSheetId="2" hidden="1">'LWVC-Stmt of Act. by Class'!#REF!</definedName>
    <definedName name="QB_COLUMN_76212" localSheetId="2" hidden="1">'LWVC-Stmt of Act. by Class'!#REF!</definedName>
    <definedName name="QB_COLUMN_762121" localSheetId="2" hidden="1">'LWVC-Stmt of Act. by Class'!#REF!</definedName>
    <definedName name="QB_COLUMN_762122" localSheetId="2" hidden="1">'LWVC-Stmt of Act. by Class'!#REF!</definedName>
    <definedName name="QB_COLUMN_762124" localSheetId="2" hidden="1">'LWVC-Stmt of Act. by Class'!#REF!</definedName>
    <definedName name="QB_COLUMN_76213" localSheetId="2" hidden="1">'LWVC-Stmt of Act. by Class'!#REF!</definedName>
    <definedName name="QB_COLUMN_762131" localSheetId="2" hidden="1">'LWVC-Stmt of Act. by Class'!#REF!</definedName>
    <definedName name="QB_COLUMN_762153" localSheetId="2" hidden="1">'LWVC-Stmt of Act. by Class'!#REF!</definedName>
    <definedName name="QB_COLUMN_762154" localSheetId="2" hidden="1">'LWVC-Stmt of Act. by Class'!#REF!</definedName>
    <definedName name="QB_COLUMN_762155" localSheetId="2" hidden="1">'LWVC-Stmt of Act. by Class'!#REF!</definedName>
    <definedName name="QB_COLUMN_762161" localSheetId="2" hidden="1">'LWVC-Stmt of Act. by Class'!#REF!</definedName>
    <definedName name="QB_COLUMN_762164" localSheetId="2" hidden="1">'LWVC-Stmt of Act. by Class'!#REF!</definedName>
    <definedName name="QB_COLUMN_762165" localSheetId="2" hidden="1">'LWVC-Stmt of Act. by Class'!#REF!</definedName>
    <definedName name="QB_COLUMN_762167" localSheetId="2" hidden="1">'LWVC-Stmt of Act. by Class'!#REF!</definedName>
    <definedName name="QB_COLUMN_762168" localSheetId="2" hidden="1">'LWVC-Stmt of Act. by Class'!#REF!</definedName>
    <definedName name="QB_COLUMN_762172" localSheetId="2" hidden="1">'LWVC-Stmt of Act. by Class'!#REF!</definedName>
    <definedName name="QB_COLUMN_76310" localSheetId="2" hidden="1">'LWVC-Stmt of Act. by Class'!#REF!</definedName>
    <definedName name="QB_COLUMN_763119" localSheetId="2" hidden="1">'LWVC-Stmt of Act. by Class'!#REF!</definedName>
    <definedName name="QB_COLUMN_76312" localSheetId="2" hidden="1">'LWVC-Stmt of Act. by Class'!#REF!</definedName>
    <definedName name="QB_COLUMN_763121" localSheetId="2" hidden="1">'LWVC-Stmt of Act. by Class'!#REF!</definedName>
    <definedName name="QB_COLUMN_763145" localSheetId="2" hidden="1">'LWVC-Stmt of Act. by Class'!#REF!</definedName>
    <definedName name="QB_COLUMN_763155" localSheetId="2" hidden="1">'LWVC-Stmt of Act. by Class'!#REF!</definedName>
    <definedName name="QB_COLUMN_763156" localSheetId="2" hidden="1">'LWVC-Stmt of Act. by Class'!#REF!</definedName>
    <definedName name="QB_COLUMN_763157" localSheetId="2" hidden="1">'LWVC-Stmt of Act. by Class'!#REF!</definedName>
    <definedName name="QB_DATA_0" localSheetId="11" hidden="1">'FASB117 '!$6:$6,'FASB117 '!$7:$7,'FASB117 '!$9:$9,'FASB117 '!$11:$11,'FASB117 '!$12:$12,'FASB117 '!$13:$13,'FASB117 '!$16:$16,'FASB117 '!$17:$17,'FASB117 '!$21:$21,'FASB117 '!$22:$22,'FASB117 '!$23:$23,'FASB117 '!$25:$25,'FASB117 '!$27:$27,'FASB117 '!$28:$28,'FASB117 '!$31:$31,'FASB117 '!$32:$32</definedName>
    <definedName name="QB_DATA_0" localSheetId="10" hidden="1">'LWVCEF-Stmt of Fin. Pos. by mth'!$6:$6,'LWVCEF-Stmt of Fin. Pos. by mth'!$8:$8,'LWVCEF-Stmt of Fin. Pos. by mth'!$9:$9,'LWVCEF-Stmt of Fin. Pos. by mth'!$10:$10,'LWVCEF-Stmt of Fin. Pos. by mth'!$13:$13,'LWVCEF-Stmt of Fin. Pos. by mth'!$16:$16,'LWVCEF-Stmt of Fin. Pos. by mth'!$18:$18,'LWVCEF-Stmt of Fin. Pos. by mth'!$19:$19,'LWVCEF-Stmt of Fin. Pos. by mth'!$22:$22,'LWVCEF-Stmt of Fin. Pos. by mth'!$23:$23,'LWVCEF-Stmt of Fin. Pos. by mth'!$27:$27,'LWVCEF-Stmt of Fin. Pos. by mth'!$28:$28,'LWVCEF-Stmt of Fin. Pos. by mth'!$29:$29,'LWVCEF-Stmt of Fin. Pos. by mth'!$36:$36,'LWVCEF-Stmt of Fin. Pos. by mth'!$40:$40,'LWVCEF-Stmt of Fin. Pos. by mth'!$41:$41</definedName>
    <definedName name="QB_DATA_0" localSheetId="9" hidden="1">'LWVCEF-Stmt. of Act. by Month'!$6:$6,'LWVCEF-Stmt. of Act. by Month'!$8:$8,'LWVCEF-Stmt. of Act. by Month'!$9:$9,'LWVCEF-Stmt. of Act. by Month'!$10:$10,'LWVCEF-Stmt. of Act. by Month'!$11:$11,'LWVCEF-Stmt. of Act. by Month'!$12:$12,'LWVCEF-Stmt. of Act. by Month'!$13:$13,'LWVCEF-Stmt. of Act. by Month'!$14:$14,'LWVCEF-Stmt. of Act. by Month'!$17:$17,'LWVCEF-Stmt. of Act. by Month'!$18:$18,'LWVCEF-Stmt. of Act. by Month'!$19:$19,'LWVCEF-Stmt. of Act. by Month'!$20:$20,'LWVCEF-Stmt. of Act. by Month'!$22:$22,'LWVCEF-Stmt. of Act. by Month'!$23:$23,'LWVCEF-Stmt. of Act. by Month'!$24:$24,'LWVCEF-Stmt. of Act. by Month'!$27:$27</definedName>
    <definedName name="QB_DATA_0" localSheetId="2" hidden="1">'LWVC-Stmt of Act. by Class'!$7:$7,'LWVC-Stmt of Act. by Class'!$8:$8,'LWVC-Stmt of Act. by Class'!$9:$9,'LWVC-Stmt of Act. by Class'!$13:$13,'LWVC-Stmt of Act. by Class'!$14:$14,'LWVC-Stmt of Act. by Class'!$15:$15,'LWVC-Stmt of Act. by Class'!$17:$17,'LWVC-Stmt of Act. by Class'!$18:$18,'LWVC-Stmt of Act. by Class'!$19:$19,'LWVC-Stmt of Act. by Class'!$22:$22,'LWVC-Stmt of Act. by Class'!$23:$23,'LWVC-Stmt of Act. by Class'!$24:$24,'LWVC-Stmt of Act. by Class'!$25:$25,'LWVC-Stmt of Act. by Class'!$27:$27,'LWVC-Stmt of Act. by Class'!$29:$29,'LWVC-Stmt of Act. by Class'!$30:$30</definedName>
    <definedName name="QB_DATA_0" localSheetId="4" hidden="1">'LWVC-Stmt of Activities by Mth'!$5:$5,'LWVC-Stmt of Activities by Mth'!$6:$6,'LWVC-Stmt of Activities by Mth'!$7:$7,'LWVC-Stmt of Activities by Mth'!$10:$10,'LWVC-Stmt of Activities by Mth'!$11:$11,'LWVC-Stmt of Activities by Mth'!$12:$12,'LWVC-Stmt of Activities by Mth'!$13:$13,'LWVC-Stmt of Activities by Mth'!$14:$14,'LWVC-Stmt of Activities by Mth'!$15:$15,'LWVC-Stmt of Activities by Mth'!$18:$18,'LWVC-Stmt of Activities by Mth'!$19:$19,'LWVC-Stmt of Activities by Mth'!$20:$20,'LWVC-Stmt of Activities by Mth'!$21:$21,'LWVC-Stmt of Activities by Mth'!$22:$22,'LWVC-Stmt of Activities by Mth'!$23:$23,'LWVC-Stmt of Activities by Mth'!$25:$25</definedName>
    <definedName name="QB_DATA_0" localSheetId="5" hidden="1">'LWVC-Stmt of Fin. Postn. by Mth'!$6:$6,'LWVC-Stmt of Fin. Postn. by Mth'!$7:$7,'LWVC-Stmt of Fin. Postn. by Mth'!$11:$11,'LWVC-Stmt of Fin. Postn. by Mth'!$14:$14,'LWVC-Stmt of Fin. Postn. by Mth'!$15:$15,'LWVC-Stmt of Fin. Postn. by Mth'!$16:$16,'LWVC-Stmt of Fin. Postn. by Mth'!$18:$18,'LWVC-Stmt of Fin. Postn. by Mth'!$19:$19,'LWVC-Stmt of Fin. Postn. by Mth'!$21:$21,'LWVC-Stmt of Fin. Postn. by Mth'!$22:$22,'LWVC-Stmt of Fin. Postn. by Mth'!$26:$26,'LWVC-Stmt of Fin. Postn. by Mth'!$27:$27,'LWVC-Stmt of Fin. Postn. by Mth'!$28:$28,'LWVC-Stmt of Fin. Postn. by Mth'!$31:$31,'LWVC-Stmt of Fin. Postn. by Mth'!$38:$38,'LWVC-Stmt of Fin. Postn. by Mth'!$43:$43</definedName>
    <definedName name="QB_DATA_1" localSheetId="11" hidden="1">'FASB117 '!$36:$36,'FASB117 '!$43:$43,'FASB117 '!$44:$44,'FASB117 '!$45:$45,'FASB117 '!$47:$47,'FASB117 '!$48:$48,'FASB117 '!$49:$49,'FASB117 '!$50:$50,'FASB117 '!$51:$51,'FASB117 '!#REF!,'FASB117 '!#REF!,'FASB117 '!#REF!,'FASB117 '!#REF!,'FASB117 '!#REF!,'FASB117 '!#REF!,'FASB117 '!#REF!</definedName>
    <definedName name="QB_DATA_1" localSheetId="10" hidden="1">'LWVCEF-Stmt of Fin. Pos. by mth'!$44:$44,'LWVCEF-Stmt of Fin. Pos. by mth'!$45:$45,'LWVCEF-Stmt of Fin. Pos. by mth'!$46:$46,'LWVCEF-Stmt of Fin. Pos. by mth'!$47:$47,'LWVCEF-Stmt of Fin. Pos. by mth'!$48:$48,'LWVCEF-Stmt of Fin. Pos. by mth'!$49:$49,'LWVCEF-Stmt of Fin. Pos. by mth'!$50:$50,'LWVCEF-Stmt of Fin. Pos. by mth'!$51:$51,'LWVCEF-Stmt of Fin. Pos. by mth'!$52:$52,'LWVCEF-Stmt of Fin. Pos. by mth'!$53:$53,'LWVCEF-Stmt of Fin. Pos. by mth'!$54:$54,'LWVCEF-Stmt of Fin. Pos. by mth'!$55:$55,'LWVCEF-Stmt of Fin. Pos. by mth'!$56:$56,'LWVCEF-Stmt of Fin. Pos. by mth'!$57:$57,'LWVCEF-Stmt of Fin. Pos. by mth'!$58:$58,'LWVCEF-Stmt of Fin. Pos. by mth'!$59:$59</definedName>
    <definedName name="QB_DATA_1" localSheetId="9" hidden="1">'LWVCEF-Stmt. of Act. by Month'!$31:$31,'LWVCEF-Stmt. of Act. by Month'!$32:$32,'LWVCEF-Stmt. of Act. by Month'!$33:$33,'LWVCEF-Stmt. of Act. by Month'!$34:$34,'LWVCEF-Stmt. of Act. by Month'!$35:$35,'LWVCEF-Stmt. of Act. by Month'!$36:$36,'LWVCEF-Stmt. of Act. by Month'!$37:$37,'LWVCEF-Stmt. of Act. by Month'!$38:$38,'LWVCEF-Stmt. of Act. by Month'!$39:$39,'LWVCEF-Stmt. of Act. by Month'!$40:$40,'LWVCEF-Stmt. of Act. by Month'!$41:$41,'LWVCEF-Stmt. of Act. by Month'!$42:$42,'LWVCEF-Stmt. of Act. by Month'!$43:$43,'LWVCEF-Stmt. of Act. by Month'!$44:$44,'LWVCEF-Stmt. of Act. by Month'!#REF!</definedName>
    <definedName name="QB_DATA_1" localSheetId="2" hidden="1">'LWVC-Stmt of Act. by Class'!$31:$31,'LWVC-Stmt of Act. by Class'!#REF!,'LWVC-Stmt of Act. by Class'!$33:$33,'LWVC-Stmt of Act. by Class'!$34:$34,'LWVC-Stmt of Act. by Class'!$36:$36,'LWVC-Stmt of Act. by Class'!$39:$39,'LWVC-Stmt of Act. by Class'!$40:$40,'LWVC-Stmt of Act. by Class'!$41:$41,'LWVC-Stmt of Act. by Class'!$42:$42,'LWVC-Stmt of Act. by Class'!$43:$43,'LWVC-Stmt of Act. by Class'!$44:$44,'LWVC-Stmt of Act. by Class'!$45:$45,'LWVC-Stmt of Act. by Class'!$46:$46,'LWVC-Stmt of Act. by Class'!$47:$47,'LWVC-Stmt of Act. by Class'!$48:$48,'LWVC-Stmt of Act. by Class'!$49:$49</definedName>
    <definedName name="QB_DATA_1" localSheetId="4" hidden="1">'LWVC-Stmt of Activities by Mth'!$26:$26,'LWVC-Stmt of Activities by Mth'!$27:$27,'LWVC-Stmt of Activities by Mth'!$28:$28,'LWVC-Stmt of Activities by Mth'!$31:$31,'LWVC-Stmt of Activities by Mth'!$32:$32,'LWVC-Stmt of Activities by Mth'!$33:$33,'LWVC-Stmt of Activities by Mth'!$35:$35,'LWVC-Stmt of Activities by Mth'!$38:$38,'LWVC-Stmt of Activities by Mth'!$39:$39,'LWVC-Stmt of Activities by Mth'!$40:$40,'LWVC-Stmt of Activities by Mth'!$41:$41,'LWVC-Stmt of Activities by Mth'!$42:$42,'LWVC-Stmt of Activities by Mth'!$43:$43,'LWVC-Stmt of Activities by Mth'!$44:$44,'LWVC-Stmt of Activities by Mth'!$45:$45,'LWVC-Stmt of Activities by Mth'!$46:$46</definedName>
    <definedName name="QB_DATA_1" localSheetId="5" hidden="1">'LWVC-Stmt of Fin. Postn. by Mth'!$44:$44,'LWVC-Stmt of Fin. Postn. by Mth'!$45:$45,'LWVC-Stmt of Fin. Postn. by Mth'!$47:$47,'LWVC-Stmt of Fin. Postn. by Mth'!$52:$52,'LWVC-Stmt of Fin. Postn. by Mth'!$56:$56,'LWVC-Stmt of Fin. Postn. by Mth'!$57:$57,'LWVC-Stmt of Fin. Postn. by Mth'!$59:$59,'LWVC-Stmt of Fin. Postn. by Mth'!$60:$60,'LWVC-Stmt of Fin. Postn. by Mth'!$61:$61,'LWVC-Stmt of Fin. Postn. by Mth'!$62:$62,'LWVC-Stmt of Fin. Postn. by Mth'!$66:$66,'LWVC-Stmt of Fin. Postn. by Mth'!$70:$70,'LWVC-Stmt of Fin. Postn. by Mth'!$72:$72,'LWVC-Stmt of Fin. Postn. by Mth'!$73:$73,'LWVC-Stmt of Fin. Postn. by Mth'!$74:$74,'LWVC-Stmt of Fin. Postn. by Mth'!$75:$75</definedName>
    <definedName name="QB_DATA_2" localSheetId="11" hidden="1">'FASB117 '!#REF!,'FASB117 '!#REF!</definedName>
    <definedName name="QB_DATA_2" localSheetId="10" hidden="1">'LWVCEF-Stmt of Fin. Pos. by mth'!$61:$61,'LWVCEF-Stmt of Fin. Pos. by mth'!$62:$62,'LWVCEF-Stmt of Fin. Pos. by mth'!$64:$64,'LWVCEF-Stmt of Fin. Pos. by mth'!$65:$65,'LWVCEF-Stmt of Fin. Pos. by mth'!$66:$66,'LWVCEF-Stmt of Fin. Pos. by mth'!$67:$67,'LWVCEF-Stmt of Fin. Pos. by mth'!$68:$68,'LWVCEF-Stmt of Fin. Pos. by mth'!$69:$69,'LWVCEF-Stmt of Fin. Pos. by mth'!$70:$70,'LWVCEF-Stmt of Fin. Pos. by mth'!$71:$71,'LWVCEF-Stmt of Fin. Pos. by mth'!$72:$72,'LWVCEF-Stmt of Fin. Pos. by mth'!$73:$73,'LWVCEF-Stmt of Fin. Pos. by mth'!$74:$74,'LWVCEF-Stmt of Fin. Pos. by mth'!$75:$75,'LWVCEF-Stmt of Fin. Pos. by mth'!$76:$76,'LWVCEF-Stmt of Fin. Pos. by mth'!$77:$77</definedName>
    <definedName name="QB_DATA_2" localSheetId="2" hidden="1">'LWVC-Stmt of Act. by Class'!$50:$50,'LWVC-Stmt of Act. by Class'!$51:$51,'LWVC-Stmt of Act. by Class'!$52:$52,'LWVC-Stmt of Act. by Class'!$53:$53,'LWVC-Stmt of Act. by Class'!$54:$54,'LWVC-Stmt of Act. by Class'!$55:$55,'LWVC-Stmt of Act. by Class'!$56:$56,'LWVC-Stmt of Act. by Class'!#REF!</definedName>
    <definedName name="QB_DATA_2" localSheetId="4" hidden="1">'LWVC-Stmt of Activities by Mth'!$47:$47,'LWVC-Stmt of Activities by Mth'!$48:$48,'LWVC-Stmt of Activities by Mth'!$49:$49,'LWVC-Stmt of Activities by Mth'!$50:$50,'LWVC-Stmt of Activities by Mth'!$51:$51,'LWVC-Stmt of Activities by Mth'!$52:$52,'LWVC-Stmt of Activities by Mth'!$53:$53,'LWVC-Stmt of Activities by Mth'!$54:$54,'LWVC-Stmt of Activities by Mth'!#REF!</definedName>
    <definedName name="QB_DATA_2" localSheetId="5" hidden="1">'LWVC-Stmt of Fin. Postn. by Mth'!$78:$78,'LWVC-Stmt of Fin. Postn. by Mth'!$80:$80</definedName>
    <definedName name="QB_DATA_3" localSheetId="10" hidden="1">'LWVCEF-Stmt of Fin. Pos. by mth'!$78:$78,'LWVCEF-Stmt of Fin. Pos. by mth'!$80:$80,'LWVCEF-Stmt of Fin. Pos. by mth'!#REF!,'LWVCEF-Stmt of Fin. Pos. by mth'!$81:$81,'LWVCEF-Stmt of Fin. Pos. by mth'!$86:$86,'LWVCEF-Stmt of Fin. Pos. by mth'!$88:$88,'LWVCEF-Stmt of Fin. Pos. by mth'!$89:$89,'LWVCEF-Stmt of Fin. Pos. by mth'!$92:$92,'LWVCEF-Stmt of Fin. Pos. by mth'!$94:$94,'LWVCEF-Stmt of Fin. Pos. by mth'!$97:$97,'LWVCEF-Stmt of Fin. Pos. by mth'!$98:$98,'LWVCEF-Stmt of Fin. Pos. by mth'!$99:$99,'LWVCEF-Stmt of Fin. Pos. by mth'!$101:$101,'LWVCEF-Stmt of Fin. Pos. by mth'!#REF!</definedName>
    <definedName name="QB_FORMULA_0" localSheetId="11" hidden="1">'FASB117 '!$H$8,'FASB117 '!$H$19,'FASB117 '!$H$26,'FASB117 '!$H$33,'FASB117 '!$H$34,'FASB117 '!$H$37,'FASB117 '!#REF!,'FASB117 '!#REF!,'FASB117 '!#REF!,'FASB117 '!#REF!</definedName>
    <definedName name="QB_FORMULA_0" localSheetId="10" hidden="1">'LWVCEF-Stmt of Fin. Pos. by mth'!$G$7,'LWVCEF-Stmt of Fin. Pos. by mth'!$I$7,'LWVCEF-Stmt of Fin. Pos. by mth'!$K$7,'LWVCEF-Stmt of Fin. Pos. by mth'!$M$7,'LWVCEF-Stmt of Fin. Pos. by mth'!$O$7,'LWVCEF-Stmt of Fin. Pos. by mth'!$Q$7,'LWVCEF-Stmt of Fin. Pos. by mth'!$S$7,'LWVCEF-Stmt of Fin. Pos. by mth'!$U$7,'LWVCEF-Stmt of Fin. Pos. by mth'!$W$7,'LWVCEF-Stmt of Fin. Pos. by mth'!$Y$7,'LWVCEF-Stmt of Fin. Pos. by mth'!$AA$7,'LWVCEF-Stmt of Fin. Pos. by mth'!$AC$7,'LWVCEF-Stmt of Fin. Pos. by mth'!$G$11,'LWVCEF-Stmt of Fin. Pos. by mth'!$I$11,'LWVCEF-Stmt of Fin. Pos. by mth'!$K$11,'LWVCEF-Stmt of Fin. Pos. by mth'!$M$11</definedName>
    <definedName name="QB_FORMULA_0" localSheetId="9" hidden="1">'LWVCEF-Stmt. of Act. by Month'!$AF$6,'LWVCEF-Stmt. of Act. by Month'!$H$7,'LWVCEF-Stmt. of Act. by Month'!$J$7,'LWVCEF-Stmt. of Act. by Month'!$L$7,'LWVCEF-Stmt. of Act. by Month'!$N$7,'LWVCEF-Stmt. of Act. by Month'!$P$7,'LWVCEF-Stmt. of Act. by Month'!$R$7,'LWVCEF-Stmt. of Act. by Month'!$T$7,'LWVCEF-Stmt. of Act. by Month'!$V$7,'LWVCEF-Stmt. of Act. by Month'!$X$7,'LWVCEF-Stmt. of Act. by Month'!$Z$7,'LWVCEF-Stmt. of Act. by Month'!$AB$7,'LWVCEF-Stmt. of Act. by Month'!$AD$7,'LWVCEF-Stmt. of Act. by Month'!$AF$7,'LWVCEF-Stmt. of Act. by Month'!$AF$8,'LWVCEF-Stmt. of Act. by Month'!$AF$9</definedName>
    <definedName name="QB_FORMULA_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0" localSheetId="4" hidden="1">'LWVC-Stmt of Activities by Mth'!$AF$5,'LWVC-Stmt of Activities by Mth'!$AF$6,'LWVC-Stmt of Activities by Mth'!$AF$7,'LWVC-Stmt of Activities by Mth'!$H$8,'LWVC-Stmt of Activities by Mth'!$J$8,'LWVC-Stmt of Activities by Mth'!$L$8,'LWVC-Stmt of Activities by Mth'!$N$8,'LWVC-Stmt of Activities by Mth'!$P$8,'LWVC-Stmt of Activities by Mth'!$R$8,'LWVC-Stmt of Activities by Mth'!$T$8,'LWVC-Stmt of Activities by Mth'!$V$8,'LWVC-Stmt of Activities by Mth'!$X$8,'LWVC-Stmt of Activities by Mth'!$Z$8,'LWVC-Stmt of Activities by Mth'!$AB$8,'LWVC-Stmt of Activities by Mth'!$AD$8,'LWVC-Stmt of Activities by Mth'!$AF$8</definedName>
    <definedName name="QB_FORMULA_0" localSheetId="5" hidden="1">'LWVC-Stmt of Fin. Postn. by Mth'!$H$8,'LWVC-Stmt of Fin. Postn. by Mth'!$J$8,'LWVC-Stmt of Fin. Postn. by Mth'!$L$8,'LWVC-Stmt of Fin. Postn. by Mth'!$N$8,'LWVC-Stmt of Fin. Postn. by Mth'!$P$8,'LWVC-Stmt of Fin. Postn. by Mth'!$R$8,'LWVC-Stmt of Fin. Postn. by Mth'!$T$8,'LWVC-Stmt of Fin. Postn. by Mth'!$V$8,'LWVC-Stmt of Fin. Postn. by Mth'!$X$8,'LWVC-Stmt of Fin. Postn. by Mth'!$Z$8,'LWVC-Stmt of Fin. Postn. by Mth'!$AB$8,'LWVC-Stmt of Fin. Postn. by Mth'!$AD$8,'LWVC-Stmt of Fin. Postn. by Mth'!$H$9,'LWVC-Stmt of Fin. Postn. by Mth'!$J$9,'LWVC-Stmt of Fin. Postn. by Mth'!$L$9,'LWVC-Stmt of Fin. Postn. by Mth'!$N$9</definedName>
    <definedName name="QB_FORMULA_1" localSheetId="10" hidden="1">'LWVCEF-Stmt of Fin. Pos. by mth'!$O$11,'LWVCEF-Stmt of Fin. Pos. by mth'!$Q$11,'LWVCEF-Stmt of Fin. Pos. by mth'!$S$11,'LWVCEF-Stmt of Fin. Pos. by mth'!$U$11,'LWVCEF-Stmt of Fin. Pos. by mth'!$W$11,'LWVCEF-Stmt of Fin. Pos. by mth'!$Y$11,'LWVCEF-Stmt of Fin. Pos. by mth'!$AA$11,'LWVCEF-Stmt of Fin. Pos. by mth'!$AC$11,'LWVCEF-Stmt of Fin. Pos. by mth'!$G$14,'LWVCEF-Stmt of Fin. Pos. by mth'!$I$14,'LWVCEF-Stmt of Fin. Pos. by mth'!$K$14,'LWVCEF-Stmt of Fin. Pos. by mth'!$M$14,'LWVCEF-Stmt of Fin. Pos. by mth'!$O$14,'LWVCEF-Stmt of Fin. Pos. by mth'!$Q$14,'LWVCEF-Stmt of Fin. Pos. by mth'!$S$14,'LWVCEF-Stmt of Fin. Pos. by mth'!$U$14</definedName>
    <definedName name="QB_FORMULA_1" localSheetId="9" hidden="1">'LWVCEF-Stmt. of Act. by Month'!$AF$10,'LWVCEF-Stmt. of Act. by Month'!$AF$11,'LWVCEF-Stmt. of Act. by Month'!$AF$12,'LWVCEF-Stmt. of Act. by Month'!$AF$13,'LWVCEF-Stmt. of Act. by Month'!$AF$14,'LWVCEF-Stmt. of Act. by Month'!$H$15,'LWVCEF-Stmt. of Act. by Month'!$J$15,'LWVCEF-Stmt. of Act. by Month'!$L$15,'LWVCEF-Stmt. of Act. by Month'!$N$15,'LWVCEF-Stmt. of Act. by Month'!$P$15,'LWVCEF-Stmt. of Act. by Month'!$R$15,'LWVCEF-Stmt. of Act. by Month'!$T$15,'LWVCEF-Stmt. of Act. by Month'!$V$15,'LWVCEF-Stmt. of Act. by Month'!$X$15,'LWVCEF-Stmt. of Act. by Month'!$Z$15,'LWVCEF-Stmt. of Act. by Month'!$AB$15</definedName>
    <definedName name="QB_FORMULA_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" localSheetId="4" hidden="1">'LWVC-Stmt of Activities by Mth'!$AF$10,'LWVC-Stmt of Activities by Mth'!$AF$11,'LWVC-Stmt of Activities by Mth'!$AF$12,'LWVC-Stmt of Activities by Mth'!$AF$13,'LWVC-Stmt of Activities by Mth'!$AF$14,'LWVC-Stmt of Activities by Mth'!$AF$15,'LWVC-Stmt of Activities by Mth'!$H$16,'LWVC-Stmt of Activities by Mth'!$J$16,'LWVC-Stmt of Activities by Mth'!$L$16,'LWVC-Stmt of Activities by Mth'!$N$16,'LWVC-Stmt of Activities by Mth'!$P$16,'LWVC-Stmt of Activities by Mth'!$R$16,'LWVC-Stmt of Activities by Mth'!$T$16,'LWVC-Stmt of Activities by Mth'!$V$16,'LWVC-Stmt of Activities by Mth'!$X$16,'LWVC-Stmt of Activities by Mth'!$Z$16</definedName>
    <definedName name="QB_FORMULA_1" localSheetId="5" hidden="1">'LWVC-Stmt of Fin. Postn. by Mth'!$P$9,'LWVC-Stmt of Fin. Postn. by Mth'!$R$9,'LWVC-Stmt of Fin. Postn. by Mth'!$T$9,'LWVC-Stmt of Fin. Postn. by Mth'!$V$9,'LWVC-Stmt of Fin. Postn. by Mth'!$X$9,'LWVC-Stmt of Fin. Postn. by Mth'!$Z$9,'LWVC-Stmt of Fin. Postn. by Mth'!$AB$9,'LWVC-Stmt of Fin. Postn. by Mth'!$AD$9,'LWVC-Stmt of Fin. Postn. by Mth'!$H$12,'LWVC-Stmt of Fin. Postn. by Mth'!$J$12,'LWVC-Stmt of Fin. Postn. by Mth'!$L$12,'LWVC-Stmt of Fin. Postn. by Mth'!$N$12,'LWVC-Stmt of Fin. Postn. by Mth'!$P$12,'LWVC-Stmt of Fin. Postn. by Mth'!$R$12,'LWVC-Stmt of Fin. Postn. by Mth'!$T$12,'LWVC-Stmt of Fin. Postn. by Mth'!$V$12</definedName>
    <definedName name="QB_FORMULA_10" localSheetId="10" hidden="1">'LWVCEF-Stmt of Fin. Pos. by mth'!$O$83,'LWVCEF-Stmt of Fin. Pos. by mth'!$Q$83,'LWVCEF-Stmt of Fin. Pos. by mth'!$S$83,'LWVCEF-Stmt of Fin. Pos. by mth'!$U$83,'LWVCEF-Stmt of Fin. Pos. by mth'!$W$83,'LWVCEF-Stmt of Fin. Pos. by mth'!$Y$83,'LWVCEF-Stmt of Fin. Pos. by mth'!$AA$83,'LWVCEF-Stmt of Fin. Pos. by mth'!$AC$83,'LWVCEF-Stmt of Fin. Pos. by mth'!$G$84,'LWVCEF-Stmt of Fin. Pos. by mth'!$I$84,'LWVCEF-Stmt of Fin. Pos. by mth'!$K$84,'LWVCEF-Stmt of Fin. Pos. by mth'!$M$84,'LWVCEF-Stmt of Fin. Pos. by mth'!$O$84,'LWVCEF-Stmt of Fin. Pos. by mth'!$Q$84,'LWVCEF-Stmt of Fin. Pos. by mth'!$S$84,'LWVCEF-Stmt of Fin. Pos. by mth'!$U$84</definedName>
    <definedName name="QB_FORMULA_10" localSheetId="9" hidden="1">'LWVCEF-Stmt. of Act. by Month'!#REF!</definedName>
    <definedName name="QB_FORMULA_1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0" localSheetId="5" hidden="1">'LWVC-Stmt of Fin. Postn. by Mth'!$P$53,'LWVC-Stmt of Fin. Postn. by Mth'!$R$53,'LWVC-Stmt of Fin. Postn. by Mth'!$T$53,'LWVC-Stmt of Fin. Postn. by Mth'!$V$53,'LWVC-Stmt of Fin. Postn. by Mth'!$X$53,'LWVC-Stmt of Fin. Postn. by Mth'!$Z$53,'LWVC-Stmt of Fin. Postn. by Mth'!$AB$53,'LWVC-Stmt of Fin. Postn. by Mth'!$AD$53,'LWVC-Stmt of Fin. Postn. by Mth'!$H$58,'LWVC-Stmt of Fin. Postn. by Mth'!$J$58,'LWVC-Stmt of Fin. Postn. by Mth'!$L$58,'LWVC-Stmt of Fin. Postn. by Mth'!$N$58,'LWVC-Stmt of Fin. Postn. by Mth'!$P$58,'LWVC-Stmt of Fin. Postn. by Mth'!$R$58,'LWVC-Stmt of Fin. Postn. by Mth'!$T$58,'LWVC-Stmt of Fin. Postn. by Mth'!$V$58</definedName>
    <definedName name="QB_FORMULA_11" localSheetId="10" hidden="1">'LWVCEF-Stmt of Fin. Pos. by mth'!$W$84,'LWVCEF-Stmt of Fin. Pos. by mth'!$Y$84,'LWVCEF-Stmt of Fin. Pos. by mth'!$AA$84,'LWVCEF-Stmt of Fin. Pos. by mth'!$AC$84,'LWVCEF-Stmt of Fin. Pos. by mth'!$G$90,'LWVCEF-Stmt of Fin. Pos. by mth'!$I$90,'LWVCEF-Stmt of Fin. Pos. by mth'!$K$90,'LWVCEF-Stmt of Fin. Pos. by mth'!$M$90,'LWVCEF-Stmt of Fin. Pos. by mth'!$O$90,'LWVCEF-Stmt of Fin. Pos. by mth'!$Q$90,'LWVCEF-Stmt of Fin. Pos. by mth'!$S$90,'LWVCEF-Stmt of Fin. Pos. by mth'!$U$90,'LWVCEF-Stmt of Fin. Pos. by mth'!$W$90,'LWVCEF-Stmt of Fin. Pos. by mth'!$Y$90,'LWVCEF-Stmt of Fin. Pos. by mth'!$AA$90,'LWVCEF-Stmt of Fin. Pos. by mth'!$AC$90</definedName>
    <definedName name="QB_FORMULA_1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1" localSheetId="5" hidden="1">'LWVC-Stmt of Fin. Postn. by Mth'!$X$58,'LWVC-Stmt of Fin. Postn. by Mth'!$Z$58,'LWVC-Stmt of Fin. Postn. by Mth'!$AB$58,'LWVC-Stmt of Fin. Postn. by Mth'!$AD$58,'LWVC-Stmt of Fin. Postn. by Mth'!$H$63,'LWVC-Stmt of Fin. Postn. by Mth'!$J$63,'LWVC-Stmt of Fin. Postn. by Mth'!$L$63,'LWVC-Stmt of Fin. Postn. by Mth'!$N$63,'LWVC-Stmt of Fin. Postn. by Mth'!$P$63,'LWVC-Stmt of Fin. Postn. by Mth'!$R$63,'LWVC-Stmt of Fin. Postn. by Mth'!$T$63,'LWVC-Stmt of Fin. Postn. by Mth'!$V$63,'LWVC-Stmt of Fin. Postn. by Mth'!$X$63,'LWVC-Stmt of Fin. Postn. by Mth'!$Z$63,'LWVC-Stmt of Fin. Postn. by Mth'!$AB$63,'LWVC-Stmt of Fin. Postn. by Mth'!$AD$63</definedName>
    <definedName name="QB_FORMULA_12" localSheetId="10" hidden="1">'LWVCEF-Stmt of Fin. Pos. by mth'!$G$95,'LWVCEF-Stmt of Fin. Pos. by mth'!$I$95,'LWVCEF-Stmt of Fin. Pos. by mth'!$K$95,'LWVCEF-Stmt of Fin. Pos. by mth'!$M$95,'LWVCEF-Stmt of Fin. Pos. by mth'!$O$95,'LWVCEF-Stmt of Fin. Pos. by mth'!$Q$95,'LWVCEF-Stmt of Fin. Pos. by mth'!$S$95,'LWVCEF-Stmt of Fin. Pos. by mth'!$U$95,'LWVCEF-Stmt of Fin. Pos. by mth'!$W$95,'LWVCEF-Stmt of Fin. Pos. by mth'!$Y$95,'LWVCEF-Stmt of Fin. Pos. by mth'!$AA$95,'LWVCEF-Stmt of Fin. Pos. by mth'!$AC$95,'LWVCEF-Stmt of Fin. Pos. by mth'!$G$100,'LWVCEF-Stmt of Fin. Pos. by mth'!$I$100,'LWVCEF-Stmt of Fin. Pos. by mth'!$K$100,'LWVCEF-Stmt of Fin. Pos. by mth'!$M$100</definedName>
    <definedName name="QB_FORMULA_1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2" localSheetId="5" hidden="1">'LWVC-Stmt of Fin. Postn. by Mth'!$H$64,'LWVC-Stmt of Fin. Postn. by Mth'!$J$64,'LWVC-Stmt of Fin. Postn. by Mth'!$L$64,'LWVC-Stmt of Fin. Postn. by Mth'!$N$64,'LWVC-Stmt of Fin. Postn. by Mth'!$P$64,'LWVC-Stmt of Fin. Postn. by Mth'!$R$64,'LWVC-Stmt of Fin. Postn. by Mth'!$T$64,'LWVC-Stmt of Fin. Postn. by Mth'!$V$64,'LWVC-Stmt of Fin. Postn. by Mth'!$X$64,'LWVC-Stmt of Fin. Postn. by Mth'!$Z$64,'LWVC-Stmt of Fin. Postn. by Mth'!$AB$64,'LWVC-Stmt of Fin. Postn. by Mth'!$AD$64,'LWVC-Stmt of Fin. Postn. by Mth'!$H$67,'LWVC-Stmt of Fin. Postn. by Mth'!$J$67,'LWVC-Stmt of Fin. Postn. by Mth'!$L$67,'LWVC-Stmt of Fin. Postn. by Mth'!$N$67</definedName>
    <definedName name="QB_FORMULA_13" localSheetId="10" hidden="1">'LWVCEF-Stmt of Fin. Pos. by mth'!$O$100,'LWVCEF-Stmt of Fin. Pos. by mth'!$Q$100,'LWVCEF-Stmt of Fin. Pos. by mth'!$S$100,'LWVCEF-Stmt of Fin. Pos. by mth'!$U$100,'LWVCEF-Stmt of Fin. Pos. by mth'!$W$100,'LWVCEF-Stmt of Fin. Pos. by mth'!$Y$100,'LWVCEF-Stmt of Fin. Pos. by mth'!$AA$100,'LWVCEF-Stmt of Fin. Pos. by mth'!$AC$100,'LWVCEF-Stmt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</definedName>
    <definedName name="QB_FORMULA_1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3" localSheetId="5" hidden="1">'LWVC-Stmt of Fin. Postn. by Mth'!$P$67,'LWVC-Stmt of Fin. Postn. by Mth'!$R$67,'LWVC-Stmt of Fin. Postn. by Mth'!$T$67,'LWVC-Stmt of Fin. Postn. by Mth'!$V$67,'LWVC-Stmt of Fin. Postn. by Mth'!$X$67,'LWVC-Stmt of Fin. Postn. by Mth'!$Z$67,'LWVC-Stmt of Fin. Postn. by Mth'!$AB$67,'LWVC-Stmt of Fin. Postn. by Mth'!$AD$67,'LWVC-Stmt of Fin. Postn. by Mth'!$H$68,'LWVC-Stmt of Fin. Postn. by Mth'!$J$68,'LWVC-Stmt of Fin. Postn. by Mth'!$L$68,'LWVC-Stmt of Fin. Postn. by Mth'!$N$68,'LWVC-Stmt of Fin. Postn. by Mth'!$P$68,'LWVC-Stmt of Fin. Postn. by Mth'!$R$68,'LWVC-Stmt of Fin. Postn. by Mth'!$T$68,'LWVC-Stmt of Fin. Postn. by Mth'!$V$68</definedName>
    <definedName name="QB_FORMULA_14" localSheetId="10" hidden="1">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</definedName>
    <definedName name="QB_FORMULA_1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4" localSheetId="5" hidden="1">'LWVC-Stmt of Fin. Postn. by Mth'!$X$68,'LWVC-Stmt of Fin. Postn. by Mth'!$Z$68,'LWVC-Stmt of Fin. Postn. by Mth'!$AB$68,'LWVC-Stmt of Fin. Postn. by Mth'!$AD$68,'LWVC-Stmt of Fin. Postn. by Mth'!$H$75,'LWVC-Stmt of Fin. Postn. by Mth'!$J$75,'LWVC-Stmt of Fin. Postn. by Mth'!$L$75,'LWVC-Stmt of Fin. Postn. by Mth'!$N$75,'LWVC-Stmt of Fin. Postn. by Mth'!$P$75,'LWVC-Stmt of Fin. Postn. by Mth'!$R$75,'LWVC-Stmt of Fin. Postn. by Mth'!$T$75,'LWVC-Stmt of Fin. Postn. by Mth'!$V$75,'LWVC-Stmt of Fin. Postn. by Mth'!$X$75,'LWVC-Stmt of Fin. Postn. by Mth'!$Z$75,'LWVC-Stmt of Fin. Postn. by Mth'!$AB$75,'LWVC-Stmt of Fin. Postn. by Mth'!$AD$75</definedName>
    <definedName name="QB_FORMULA_15" localSheetId="10" hidden="1">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mth'!#REF!,'LWVCEF-Stmt of Fin. Pos. by mth'!#REF!</definedName>
    <definedName name="QB_FORMULA_1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5" localSheetId="5" hidden="1">'LWVC-Stmt of Fin. Postn. by Mth'!$H$78,'LWVC-Stmt of Fin. Postn. by Mth'!$J$78,'LWVC-Stmt of Fin. Postn. by Mth'!$L$78,'LWVC-Stmt of Fin. Postn. by Mth'!$N$78,'LWVC-Stmt of Fin. Postn. by Mth'!$P$78,'LWVC-Stmt of Fin. Postn. by Mth'!$R$78,'LWVC-Stmt of Fin. Postn. by Mth'!$T$78,'LWVC-Stmt of Fin. Postn. by Mth'!$V$78,'LWVC-Stmt of Fin. Postn. by Mth'!$X$78,'LWVC-Stmt of Fin. Postn. by Mth'!$Z$78,'LWVC-Stmt of Fin. Postn. by Mth'!$AB$78,'LWVC-Stmt of Fin. Postn. by Mth'!$AD$78,'LWVC-Stmt of Fin. Postn. by Mth'!$H$80,'LWVC-Stmt of Fin. Postn. by Mth'!$J$80,'LWVC-Stmt of Fin. Postn. by Mth'!$L$80,'LWVC-Stmt of Fin. Postn. by Mth'!$N$80</definedName>
    <definedName name="QB_FORMULA_1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6" localSheetId="5" hidden="1">'LWVC-Stmt of Fin. Postn. by Mth'!$P$80,'LWVC-Stmt of Fin. Postn. by Mth'!$R$80,'LWVC-Stmt of Fin. Postn. by Mth'!$T$80,'LWVC-Stmt of Fin. Postn. by Mth'!$V$80,'LWVC-Stmt of Fin. Postn. by Mth'!$X$80,'LWVC-Stmt of Fin. Postn. by Mth'!$Z$80,'LWVC-Stmt of Fin. Postn. by Mth'!$AB$80,'LWVC-Stmt of Fin. Postn. by Mth'!$AD$80,'LWVC-Stmt of Fin. Postn. by Mth'!$H$81,'LWVC-Stmt of Fin. Postn. by Mth'!$J$81,'LWVC-Stmt of Fin. Postn. by Mth'!$L$81,'LWVC-Stmt of Fin. Postn. by Mth'!$N$81,'LWVC-Stmt of Fin. Postn. by Mth'!$P$81,'LWVC-Stmt of Fin. Postn. by Mth'!$R$81,'LWVC-Stmt of Fin. Postn. by Mth'!$T$81,'LWVC-Stmt of Fin. Postn. by Mth'!$V$81</definedName>
    <definedName name="QB_FORMULA_1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7" localSheetId="5" hidden="1">'LWVC-Stmt of Fin. Postn. by Mth'!$X$81,'LWVC-Stmt of Fin. Postn. by Mth'!$Z$81,'LWVC-Stmt of Fin. Postn. by Mth'!$AB$81,'LWVC-Stmt of Fin. Postn. by Mth'!$AD$81</definedName>
    <definedName name="QB_FORMULA_1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1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" localSheetId="10" hidden="1">'LWVCEF-Stmt of Fin. Pos. by mth'!$W$14,'LWVCEF-Stmt of Fin. Pos. by mth'!$Y$14,'LWVCEF-Stmt of Fin. Pos. by mth'!$AA$14,'LWVCEF-Stmt of Fin. Pos. by mth'!$AC$14,'LWVCEF-Stmt of Fin. Pos. by mth'!$G$20,'LWVCEF-Stmt of Fin. Pos. by mth'!$I$20,'LWVCEF-Stmt of Fin. Pos. by mth'!$K$20,'LWVCEF-Stmt of Fin. Pos. by mth'!$M$20,'LWVCEF-Stmt of Fin. Pos. by mth'!$O$20,'LWVCEF-Stmt of Fin. Pos. by mth'!$Q$20,'LWVCEF-Stmt of Fin. Pos. by mth'!$S$20,'LWVCEF-Stmt of Fin. Pos. by mth'!$U$20,'LWVCEF-Stmt of Fin. Pos. by mth'!$W$20,'LWVCEF-Stmt of Fin. Pos. by mth'!$Y$20,'LWVCEF-Stmt of Fin. Pos. by mth'!$AA$20,'LWVCEF-Stmt of Fin. Pos. by mth'!$AC$20</definedName>
    <definedName name="QB_FORMULA_2" localSheetId="9" hidden="1">'LWVCEF-Stmt. of Act. by Month'!$AD$15,'LWVCEF-Stmt. of Act. by Month'!$AF$15,'LWVCEF-Stmt. of Act. by Month'!$AF$17,'LWVCEF-Stmt. of Act. by Month'!$AF$18,'LWVCEF-Stmt. of Act. by Month'!$AF$19,'LWVCEF-Stmt. of Act. by Month'!$AF$20,'LWVCEF-Stmt. of Act. by Month'!$H$21,'LWVCEF-Stmt. of Act. by Month'!$J$21,'LWVCEF-Stmt. of Act. by Month'!$L$21,'LWVCEF-Stmt. of Act. by Month'!$N$21,'LWVCEF-Stmt. of Act. by Month'!$P$21,'LWVCEF-Stmt. of Act. by Month'!$R$21,'LWVCEF-Stmt. of Act. by Month'!$T$21,'LWVCEF-Stmt. of Act. by Month'!$V$21,'LWVCEF-Stmt. of Act. by Month'!$X$21,'LWVCEF-Stmt. of Act. by Month'!$Z$21</definedName>
    <definedName name="QB_FORMULA_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" localSheetId="4" hidden="1">'LWVC-Stmt of Activities by Mth'!$AB$16,'LWVC-Stmt of Activities by Mth'!$AD$16,'LWVC-Stmt of Activities by Mth'!$AF$16,'LWVC-Stmt of Activities by Mth'!$AF$18,'LWVC-Stmt of Activities by Mth'!$AF$19,'LWVC-Stmt of Activities by Mth'!$AF$20,'LWVC-Stmt of Activities by Mth'!$AF$21,'LWVC-Stmt of Activities by Mth'!$AF$22,'LWVC-Stmt of Activities by Mth'!$AF$23,'LWVC-Stmt of Activities by Mth'!$AF$25,'LWVC-Stmt of Activities by Mth'!$AF$26,'LWVC-Stmt of Activities by Mth'!$AF$27,'LWVC-Stmt of Activities by Mth'!$AF$28,'LWVC-Stmt of Activities by Mth'!$H$29,'LWVC-Stmt of Activities by Mth'!$J$29,'LWVC-Stmt of Activities by Mth'!$L$29</definedName>
    <definedName name="QB_FORMULA_2" localSheetId="5" hidden="1">'LWVC-Stmt of Fin. Postn. by Mth'!$X$12,'LWVC-Stmt of Fin. Postn. by Mth'!$Z$12,'LWVC-Stmt of Fin. Postn. by Mth'!$AB$12,'LWVC-Stmt of Fin. Postn. by Mth'!$AD$12,'LWVC-Stmt of Fin. Postn. by Mth'!$H$20,'LWVC-Stmt of Fin. Postn. by Mth'!$J$20,'LWVC-Stmt of Fin. Postn. by Mth'!$L$20,'LWVC-Stmt of Fin. Postn. by Mth'!$N$20,'LWVC-Stmt of Fin. Postn. by Mth'!$P$20,'LWVC-Stmt of Fin. Postn. by Mth'!$R$20,'LWVC-Stmt of Fin. Postn. by Mth'!$T$20,'LWVC-Stmt of Fin. Postn. by Mth'!$V$20,'LWVC-Stmt of Fin. Postn. by Mth'!$X$20,'LWVC-Stmt of Fin. Postn. by Mth'!$Z$20,'LWVC-Stmt of Fin. Postn. by Mth'!$AB$20,'LWVC-Stmt of Fin. Postn. by Mth'!$AD$20</definedName>
    <definedName name="QB_FORMULA_2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2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" localSheetId="10" hidden="1">'LWVCEF-Stmt of Fin. Pos. by mth'!$G$24,'LWVCEF-Stmt of Fin. Pos. by mth'!$I$24,'LWVCEF-Stmt of Fin. Pos. by mth'!$K$24,'LWVCEF-Stmt of Fin. Pos. by mth'!$M$24,'LWVCEF-Stmt of Fin. Pos. by mth'!$O$24,'LWVCEF-Stmt of Fin. Pos. by mth'!$Q$24,'LWVCEF-Stmt of Fin. Pos. by mth'!$S$24,'LWVCEF-Stmt of Fin. Pos. by mth'!$U$24,'LWVCEF-Stmt of Fin. Pos. by mth'!$W$24,'LWVCEF-Stmt of Fin. Pos. by mth'!$Y$24,'LWVCEF-Stmt of Fin. Pos. by mth'!$AA$24,'LWVCEF-Stmt of Fin. Pos. by mth'!$AC$24,'LWVCEF-Stmt of Fin. Pos. by mth'!$G$25,'LWVCEF-Stmt of Fin. Pos. by mth'!$I$25,'LWVCEF-Stmt of Fin. Pos. by mth'!$K$25,'LWVCEF-Stmt of Fin. Pos. by mth'!$M$25</definedName>
    <definedName name="QB_FORMULA_3" localSheetId="9" hidden="1">'LWVCEF-Stmt. of Act. by Month'!$AB$21,'LWVCEF-Stmt. of Act. by Month'!$AD$21,'LWVCEF-Stmt. of Act. by Month'!$AF$21,'LWVCEF-Stmt. of Act. by Month'!$AF$22,'LWVCEF-Stmt. of Act. by Month'!$AF$23,'LWVCEF-Stmt. of Act. by Month'!$AF$24,'LWVCEF-Stmt. of Act. by Month'!$H$25,'LWVCEF-Stmt. of Act. by Month'!$J$25,'LWVCEF-Stmt. of Act. by Month'!$L$25,'LWVCEF-Stmt. of Act. by Month'!$N$25,'LWVCEF-Stmt. of Act. by Month'!$P$25,'LWVCEF-Stmt. of Act. by Month'!$R$25,'LWVCEF-Stmt. of Act. by Month'!$T$25,'LWVCEF-Stmt. of Act. by Month'!$V$25,'LWVCEF-Stmt. of Act. by Month'!$X$25,'LWVCEF-Stmt. of Act. by Month'!$Z$25</definedName>
    <definedName name="QB_FORMULA_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" localSheetId="4" hidden="1">'LWVC-Stmt of Activities by Mth'!$N$29,'LWVC-Stmt of Activities by Mth'!$P$29,'LWVC-Stmt of Activities by Mth'!$R$29,'LWVC-Stmt of Activities by Mth'!$T$29,'LWVC-Stmt of Activities by Mth'!$V$29,'LWVC-Stmt of Activities by Mth'!$X$29,'LWVC-Stmt of Activities by Mth'!$Z$29,'LWVC-Stmt of Activities by Mth'!$AB$29,'LWVC-Stmt of Activities by Mth'!$AD$29,'LWVC-Stmt of Activities by Mth'!$AF$29,'LWVC-Stmt of Activities by Mth'!$H$30,'LWVC-Stmt of Activities by Mth'!$J$30,'LWVC-Stmt of Activities by Mth'!$L$30,'LWVC-Stmt of Activities by Mth'!$N$30,'LWVC-Stmt of Activities by Mth'!$P$30,'LWVC-Stmt of Activities by Mth'!$R$30</definedName>
    <definedName name="QB_FORMULA_3" localSheetId="5" hidden="1">'LWVC-Stmt of Fin. Postn. by Mth'!$H$23,'LWVC-Stmt of Fin. Postn. by Mth'!$J$23,'LWVC-Stmt of Fin. Postn. by Mth'!$L$23,'LWVC-Stmt of Fin. Postn. by Mth'!$N$23,'LWVC-Stmt of Fin. Postn. by Mth'!$P$23,'LWVC-Stmt of Fin. Postn. by Mth'!$R$23,'LWVC-Stmt of Fin. Postn. by Mth'!$T$23,'LWVC-Stmt of Fin. Postn. by Mth'!$V$23,'LWVC-Stmt of Fin. Postn. by Mth'!$X$23,'LWVC-Stmt of Fin. Postn. by Mth'!$Z$23,'LWVC-Stmt of Fin. Postn. by Mth'!$AB$23,'LWVC-Stmt of Fin. Postn. by Mth'!$AD$23,'LWVC-Stmt of Fin. Postn. by Mth'!$H$24,'LWVC-Stmt of Fin. Postn. by Mth'!$J$24,'LWVC-Stmt of Fin. Postn. by Mth'!$L$24,'LWVC-Stmt of Fin. Postn. by Mth'!$N$24</definedName>
    <definedName name="QB_FORMULA_3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3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" localSheetId="10" hidden="1">'LWVCEF-Stmt of Fin. Pos. by mth'!$O$25,'LWVCEF-Stmt of Fin. Pos. by mth'!$Q$25,'LWVCEF-Stmt of Fin. Pos. by mth'!$S$25,'LWVCEF-Stmt of Fin. Pos. by mth'!$U$25,'LWVCEF-Stmt of Fin. Pos. by mth'!$W$25,'LWVCEF-Stmt of Fin. Pos. by mth'!$Y$25,'LWVCEF-Stmt of Fin. Pos. by mth'!$AA$25,'LWVCEF-Stmt of Fin. Pos. by mth'!$AC$25,'LWVCEF-Stmt of Fin. Pos. by mth'!$G$30,'LWVCEF-Stmt of Fin. Pos. by mth'!$I$30,'LWVCEF-Stmt of Fin. Pos. by mth'!$K$30,'LWVCEF-Stmt of Fin. Pos. by mth'!$M$30,'LWVCEF-Stmt of Fin. Pos. by mth'!$O$30,'LWVCEF-Stmt of Fin. Pos. by mth'!$Q$30,'LWVCEF-Stmt of Fin. Pos. by mth'!$S$30,'LWVCEF-Stmt of Fin. Pos. by mth'!$U$30</definedName>
    <definedName name="QB_FORMULA_4" localSheetId="9" hidden="1">'LWVCEF-Stmt. of Act. by Month'!$AB$25,'LWVCEF-Stmt. of Act. by Month'!$AD$25,'LWVCEF-Stmt. of Act. by Month'!$AF$25,'LWVCEF-Stmt. of Act. by Month'!$AF$27,'LWVCEF-Stmt. of Act. by Month'!$H$28,'LWVCEF-Stmt. of Act. by Month'!$J$28,'LWVCEF-Stmt. of Act. by Month'!$L$28,'LWVCEF-Stmt. of Act. by Month'!$N$28,'LWVCEF-Stmt. of Act. by Month'!$P$28,'LWVCEF-Stmt. of Act. by Month'!$R$28,'LWVCEF-Stmt. of Act. by Month'!$T$28,'LWVCEF-Stmt. of Act. by Month'!$V$28,'LWVCEF-Stmt. of Act. by Month'!$X$28,'LWVCEF-Stmt. of Act. by Month'!$Z$28,'LWVCEF-Stmt. of Act. by Month'!$AB$28,'LWVCEF-Stmt. of Act. by Month'!$AD$28</definedName>
    <definedName name="QB_FORMULA_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" localSheetId="4" hidden="1">'LWVC-Stmt of Activities by Mth'!$T$30,'LWVC-Stmt of Activities by Mth'!$V$30,'LWVC-Stmt of Activities by Mth'!$X$30,'LWVC-Stmt of Activities by Mth'!$Z$30,'LWVC-Stmt of Activities by Mth'!$AB$30,'LWVC-Stmt of Activities by Mth'!$AD$30,'LWVC-Stmt of Activities by Mth'!$AF$30,'LWVC-Stmt of Activities by Mth'!$AF$31,'LWVC-Stmt of Activities by Mth'!$AF$32,'LWVC-Stmt of Activities by Mth'!$AF$33,'LWVC-Stmt of Activities by Mth'!$H$34,'LWVC-Stmt of Activities by Mth'!$J$34,'LWVC-Stmt of Activities by Mth'!$L$34,'LWVC-Stmt of Activities by Mth'!$N$34,'LWVC-Stmt of Activities by Mth'!$P$34,'LWVC-Stmt of Activities by Mth'!$R$34</definedName>
    <definedName name="QB_FORMULA_4" localSheetId="5" hidden="1">'LWVC-Stmt of Fin. Postn. by Mth'!$P$24,'LWVC-Stmt of Fin. Postn. by Mth'!$R$24,'LWVC-Stmt of Fin. Postn. by Mth'!$T$24,'LWVC-Stmt of Fin. Postn. by Mth'!$V$24,'LWVC-Stmt of Fin. Postn. by Mth'!$X$24,'LWVC-Stmt of Fin. Postn. by Mth'!$Z$24,'LWVC-Stmt of Fin. Postn. by Mth'!$AB$24,'LWVC-Stmt of Fin. Postn. by Mth'!$AD$24,'LWVC-Stmt of Fin. Postn. by Mth'!$H$29,'LWVC-Stmt of Fin. Postn. by Mth'!$J$29,'LWVC-Stmt of Fin. Postn. by Mth'!$L$29,'LWVC-Stmt of Fin. Postn. by Mth'!$N$29,'LWVC-Stmt of Fin. Postn. by Mth'!$P$29,'LWVC-Stmt of Fin. Postn. by Mth'!$R$29,'LWVC-Stmt of Fin. Postn. by Mth'!$T$29,'LWVC-Stmt of Fin. Postn. by Mth'!$V$29</definedName>
    <definedName name="QB_FORMULA_4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3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4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4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" localSheetId="10" hidden="1">'LWVCEF-Stmt of Fin. Pos. by mth'!$W$30,'LWVCEF-Stmt of Fin. Pos. by mth'!$Y$30,'LWVCEF-Stmt of Fin. Pos. by mth'!$AA$30,'LWVCEF-Stmt of Fin. Pos. by mth'!$AC$30,'LWVCEF-Stmt of Fin. Pos. by mth'!$G$31,'LWVCEF-Stmt of Fin. Pos. by mth'!$I$31,'LWVCEF-Stmt of Fin. Pos. by mth'!$K$31,'LWVCEF-Stmt of Fin. Pos. by mth'!$M$31,'LWVCEF-Stmt of Fin. Pos. by mth'!$O$31,'LWVCEF-Stmt of Fin. Pos. by mth'!$Q$31,'LWVCEF-Stmt of Fin. Pos. by mth'!$S$31,'LWVCEF-Stmt of Fin. Pos. by mth'!$U$31,'LWVCEF-Stmt of Fin. Pos. by mth'!$W$31,'LWVCEF-Stmt of Fin. Pos. by mth'!$Y$31,'LWVCEF-Stmt of Fin. Pos. by mth'!$AA$31,'LWVCEF-Stmt of Fin. Pos. by mth'!$AC$31</definedName>
    <definedName name="QB_FORMULA_5" localSheetId="9" hidden="1">'LWVCEF-Stmt. of Act. by Month'!$AF$28,'LWVCEF-Stmt. of Act. by Month'!$H$29,'LWVCEF-Stmt. of Act. by Month'!$J$29,'LWVCEF-Stmt. of Act. by Month'!$L$29,'LWVCEF-Stmt. of Act. by Month'!$N$29,'LWVCEF-Stmt. of Act. by Month'!$P$29,'LWVCEF-Stmt. of Act. by Month'!$R$29,'LWVCEF-Stmt. of Act. by Month'!$T$29,'LWVCEF-Stmt. of Act. by Month'!$V$29,'LWVCEF-Stmt. of Act. by Month'!$X$29,'LWVCEF-Stmt. of Act. by Month'!$Z$29,'LWVCEF-Stmt. of Act. by Month'!$AB$29,'LWVCEF-Stmt. of Act. by Month'!$AD$29,'LWVCEF-Stmt. of Act. by Month'!$AF$29,'LWVCEF-Stmt. of Act. by Month'!$AF$31,'LWVCEF-Stmt. of Act. by Month'!$AF$32</definedName>
    <definedName name="QB_FORMULA_5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" localSheetId="4" hidden="1">'LWVC-Stmt of Activities by Mth'!$T$34,'LWVC-Stmt of Activities by Mth'!$V$34,'LWVC-Stmt of Activities by Mth'!$X$34,'LWVC-Stmt of Activities by Mth'!$Z$34,'LWVC-Stmt of Activities by Mth'!$AB$34,'LWVC-Stmt of Activities by Mth'!$AD$34,'LWVC-Stmt of Activities by Mth'!$AF$34,'LWVC-Stmt of Activities by Mth'!$AF$35,'LWVC-Stmt of Activities by Mth'!$H$36,'LWVC-Stmt of Activities by Mth'!$J$36,'LWVC-Stmt of Activities by Mth'!$L$36,'LWVC-Stmt of Activities by Mth'!$N$36,'LWVC-Stmt of Activities by Mth'!$P$36,'LWVC-Stmt of Activities by Mth'!$R$36,'LWVC-Stmt of Activities by Mth'!$T$36,'LWVC-Stmt of Activities by Mth'!$V$36</definedName>
    <definedName name="QB_FORMULA_5" localSheetId="5" hidden="1">'LWVC-Stmt of Fin. Postn. by Mth'!$X$29,'LWVC-Stmt of Fin. Postn. by Mth'!$Z$29,'LWVC-Stmt of Fin. Postn. by Mth'!$AB$29,'LWVC-Stmt of Fin. Postn. by Mth'!$AD$29,'LWVC-Stmt of Fin. Postn. by Mth'!$H$32,'LWVC-Stmt of Fin. Postn. by Mth'!$J$32,'LWVC-Stmt of Fin. Postn. by Mth'!$L$32,'LWVC-Stmt of Fin. Postn. by Mth'!$N$32,'LWVC-Stmt of Fin. Postn. by Mth'!$P$32,'LWVC-Stmt of Fin. Postn. by Mth'!$R$32,'LWVC-Stmt of Fin. Postn. by Mth'!$T$32,'LWVC-Stmt of Fin. Postn. by Mth'!$V$32,'LWVC-Stmt of Fin. Postn. by Mth'!$X$32,'LWVC-Stmt of Fin. Postn. by Mth'!$Z$32,'LWVC-Stmt of Fin. Postn. by Mth'!$AB$32,'LWVC-Stmt of Fin. Postn. by Mth'!$AD$32</definedName>
    <definedName name="QB_FORMULA_50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1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2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53" localSheetId="2" hidden="1">'LWVC-Stmt of Act. by Class'!#REF!,'LWVC-Stmt of Act. by Class'!#REF!,'LWVC-Stmt of Act. by Class'!#REF!,'LWVC-Stmt of Act. by Class'!#REF!,'LWVC-Stmt of Act. by Class'!#REF!,'LWVC-Stmt of Act. by Class'!#REF!</definedName>
    <definedName name="QB_FORMULA_6" localSheetId="10" hidden="1">'LWVCEF-Stmt of Fin. Pos. by mth'!$G$37,'LWVCEF-Stmt of Fin. Pos. by mth'!$I$37,'LWVCEF-Stmt of Fin. Pos. by mth'!$K$37,'LWVCEF-Stmt of Fin. Pos. by mth'!$M$37,'LWVCEF-Stmt of Fin. Pos. by mth'!$O$37,'LWVCEF-Stmt of Fin. Pos. by mth'!$Q$37,'LWVCEF-Stmt of Fin. Pos. by mth'!$S$37,'LWVCEF-Stmt of Fin. Pos. by mth'!$U$37,'LWVCEF-Stmt of Fin. Pos. by mth'!$W$37,'LWVCEF-Stmt of Fin. Pos. by mth'!$Y$37,'LWVCEF-Stmt of Fin. Pos. by mth'!$AA$37,'LWVCEF-Stmt of Fin. Pos. by mth'!$AC$37,'LWVCEF-Stmt of Fin. Pos. by mth'!$G$42,'LWVCEF-Stmt of Fin. Pos. by mth'!$I$42,'LWVCEF-Stmt of Fin. Pos. by mth'!$K$42,'LWVCEF-Stmt of Fin. Pos. by mth'!$M$42</definedName>
    <definedName name="QB_FORMULA_6" localSheetId="9" hidden="1">'LWVCEF-Stmt. of Act. by Month'!$AF$33,'LWVCEF-Stmt. of Act. by Month'!$AF$34,'LWVCEF-Stmt. of Act. by Month'!$AF$35,'LWVCEF-Stmt. of Act. by Month'!$AF$36,'LWVCEF-Stmt. of Act. by Month'!$AF$37,'LWVCEF-Stmt. of Act. by Month'!$AF$38,'LWVCEF-Stmt. of Act. by Month'!$AF$39,'LWVCEF-Stmt. of Act. by Month'!$AF$40,'LWVCEF-Stmt. of Act. by Month'!$AF$41,'LWVCEF-Stmt. of Act. by Month'!$AF$42,'LWVCEF-Stmt. of Act. by Month'!$AF$43,'LWVCEF-Stmt. of Act. by Month'!$AF$44,'LWVCEF-Stmt. of Act. by Month'!$H$45,'LWVCEF-Stmt. of Act. by Month'!$J$45,'LWVCEF-Stmt. of Act. by Month'!$L$45,'LWVCEF-Stmt. of Act. by Month'!$N$45</definedName>
    <definedName name="QB_FORMULA_6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6" localSheetId="4" hidden="1">'LWVC-Stmt of Activities by Mth'!$X$36,'LWVC-Stmt of Activities by Mth'!$Z$36,'LWVC-Stmt of Activities by Mth'!$AB$36,'LWVC-Stmt of Activities by Mth'!$AD$36,'LWVC-Stmt of Activities by Mth'!$AF$36,'LWVC-Stmt of Activities by Mth'!$AF$38,'LWVC-Stmt of Activities by Mth'!$AF$39,'LWVC-Stmt of Activities by Mth'!$AF$40,'LWVC-Stmt of Activities by Mth'!$AF$41,'LWVC-Stmt of Activities by Mth'!$AF$42,'LWVC-Stmt of Activities by Mth'!$AF$43,'LWVC-Stmt of Activities by Mth'!$AF$44,'LWVC-Stmt of Activities by Mth'!$AF$45,'LWVC-Stmt of Activities by Mth'!$AF$46,'LWVC-Stmt of Activities by Mth'!$AF$47,'LWVC-Stmt of Activities by Mth'!$AF$48</definedName>
    <definedName name="QB_FORMULA_6" localSheetId="5" hidden="1">'LWVC-Stmt of Fin. Postn. by Mth'!$H$33,'LWVC-Stmt of Fin. Postn. by Mth'!$J$33,'LWVC-Stmt of Fin. Postn. by Mth'!$L$33,'LWVC-Stmt of Fin. Postn. by Mth'!$N$33,'LWVC-Stmt of Fin. Postn. by Mth'!$P$33,'LWVC-Stmt of Fin. Postn. by Mth'!$R$33,'LWVC-Stmt of Fin. Postn. by Mth'!$T$33,'LWVC-Stmt of Fin. Postn. by Mth'!$V$33,'LWVC-Stmt of Fin. Postn. by Mth'!$X$33,'LWVC-Stmt of Fin. Postn. by Mth'!$Z$33,'LWVC-Stmt of Fin. Postn. by Mth'!$AB$33,'LWVC-Stmt of Fin. Postn. by Mth'!$AD$33,'LWVC-Stmt of Fin. Postn. by Mth'!$H$39,'LWVC-Stmt of Fin. Postn. by Mth'!$J$39,'LWVC-Stmt of Fin. Postn. by Mth'!$L$39,'LWVC-Stmt of Fin. Postn. by Mth'!$N$39</definedName>
    <definedName name="QB_FORMULA_7" localSheetId="10" hidden="1">'LWVCEF-Stmt of Fin. Pos. by mth'!$O$42,'LWVCEF-Stmt of Fin. Pos. by mth'!$Q$42,'LWVCEF-Stmt of Fin. Pos. by mth'!$S$42,'LWVCEF-Stmt of Fin. Pos. by mth'!$U$42,'LWVCEF-Stmt of Fin. Pos. by mth'!$W$42,'LWVCEF-Stmt of Fin. Pos. by mth'!$Y$42,'LWVCEF-Stmt of Fin. Pos. by mth'!$AA$42,'LWVCEF-Stmt of Fin. Pos. by mth'!$AC$42,'LWVCEF-Stmt of Fin. Pos. by mth'!$G$63,'LWVCEF-Stmt of Fin. Pos. by mth'!$I$63,'LWVCEF-Stmt of Fin. Pos. by mth'!$K$63,'LWVCEF-Stmt of Fin. Pos. by mth'!$M$63,'LWVCEF-Stmt of Fin. Pos. by mth'!$O$63,'LWVCEF-Stmt of Fin. Pos. by mth'!$Q$63,'LWVCEF-Stmt of Fin. Pos. by mth'!$S$63,'LWVCEF-Stmt of Fin. Pos. by mth'!$U$63</definedName>
    <definedName name="QB_FORMULA_7" localSheetId="9" hidden="1">'LWVCEF-Stmt. of Act. by Month'!$P$45,'LWVCEF-Stmt. of Act. by Month'!$R$45,'LWVCEF-Stmt. of Act. by Month'!$T$45,'LWVCEF-Stmt. of Act. by Month'!$V$45,'LWVCEF-Stmt. of Act. by Month'!$X$45,'LWVCEF-Stmt. of Act. by Month'!$Z$45,'LWVCEF-Stmt. of Act. by Month'!$AB$45,'LWVCEF-Stmt. of Act. by Month'!$AD$45,'LWVCEF-Stmt. of Act. by Month'!$AF$45,'LWVCEF-Stmt. of Act. by Month'!$H$46,'LWVCEF-Stmt. of Act. by Month'!$J$46,'LWVCEF-Stmt. of Act. by Month'!$L$46,'LWVCEF-Stmt. of Act. by Month'!$N$46,'LWVCEF-Stmt. of Act. by Month'!$P$46,'LWVCEF-Stmt. of Act. by Month'!$R$46,'LWVCEF-Stmt. of Act. by Month'!$T$46</definedName>
    <definedName name="QB_FORMULA_7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7" localSheetId="4" hidden="1">'LWVC-Stmt of Activities by Mth'!$AF$49,'LWVC-Stmt of Activities by Mth'!$AF$50,'LWVC-Stmt of Activities by Mth'!$AF$51,'LWVC-Stmt of Activities by Mth'!$AF$52,'LWVC-Stmt of Activities by Mth'!$AF$53,'LWVC-Stmt of Activities by Mth'!$AF$54,'LWVC-Stmt of Activities by Mth'!$H$55,'LWVC-Stmt of Activities by Mth'!$J$55,'LWVC-Stmt of Activities by Mth'!$L$55,'LWVC-Stmt of Activities by Mth'!$N$55,'LWVC-Stmt of Activities by Mth'!$P$55,'LWVC-Stmt of Activities by Mth'!$R$55,'LWVC-Stmt of Activities by Mth'!$T$55,'LWVC-Stmt of Activities by Mth'!$V$55,'LWVC-Stmt of Activities by Mth'!$X$55,'LWVC-Stmt of Activities by Mth'!$Z$55</definedName>
    <definedName name="QB_FORMULA_7" localSheetId="5" hidden="1">'LWVC-Stmt of Fin. Postn. by Mth'!$P$39,'LWVC-Stmt of Fin. Postn. by Mth'!$R$39,'LWVC-Stmt of Fin. Postn. by Mth'!$T$39,'LWVC-Stmt of Fin. Postn. by Mth'!$V$39,'LWVC-Stmt of Fin. Postn. by Mth'!$X$39,'LWVC-Stmt of Fin. Postn. by Mth'!$Z$39,'LWVC-Stmt of Fin. Postn. by Mth'!$AB$39,'LWVC-Stmt of Fin. Postn. by Mth'!$AD$39,'LWVC-Stmt of Fin. Postn. by Mth'!$H$46,'LWVC-Stmt of Fin. Postn. by Mth'!$J$46,'LWVC-Stmt of Fin. Postn. by Mth'!$L$46,'LWVC-Stmt of Fin. Postn. by Mth'!$N$46,'LWVC-Stmt of Fin. Postn. by Mth'!$P$46,'LWVC-Stmt of Fin. Postn. by Mth'!$R$46,'LWVC-Stmt of Fin. Postn. by Mth'!$T$46,'LWVC-Stmt of Fin. Postn. by Mth'!$V$46</definedName>
    <definedName name="QB_FORMULA_8" localSheetId="10" hidden="1">'LWVCEF-Stmt of Fin. Pos. by mth'!$W$63,'LWVCEF-Stmt of Fin. Pos. by mth'!$Y$63,'LWVCEF-Stmt of Fin. Pos. by mth'!$AA$63,'LWVCEF-Stmt of Fin. Pos. by mth'!$AC$63,'LWVCEF-Stmt of Fin. Pos. by mth'!$G$79,'LWVCEF-Stmt of Fin. Pos. by mth'!$I$79,'LWVCEF-Stmt of Fin. Pos. by mth'!$K$79,'LWVCEF-Stmt of Fin. Pos. by mth'!$M$79,'LWVCEF-Stmt of Fin. Pos. by mth'!$O$79,'LWVCEF-Stmt of Fin. Pos. by mth'!$Q$79,'LWVCEF-Stmt of Fin. Pos. by mth'!$S$79,'LWVCEF-Stmt of Fin. Pos. by mth'!$U$79,'LWVCEF-Stmt of Fin. Pos. by mth'!$W$79,'LWVCEF-Stmt of Fin. Pos. by mth'!$Y$79,'LWVCEF-Stmt of Fin. Pos. by mth'!$AA$79,'LWVCEF-Stmt of Fin. Pos. by mth'!$AC$79</definedName>
    <definedName name="QB_FORMULA_8" localSheetId="9" hidden="1">'LWVCEF-Stmt. of Act. by Month'!$V$46,'LWVCEF-Stmt. of Act. by Month'!$X$46,'LWVCEF-Stmt. of Act. by Month'!$Z$46,'LWVCEF-Stmt. of Act. by Month'!$AB$46,'LWVCEF-Stmt. of Act. by Month'!$AD$46,'LWVCEF-Stmt. of Act. by Month'!$AF$46,'LWVCEF-Stmt.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</definedName>
    <definedName name="QB_FORMULA_8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8" localSheetId="4" hidden="1">'LWVC-Stmt of Activities by Mth'!$AB$55,'LWVC-Stmt of Activities by Mth'!$AD$55,'LWVC-Stmt of Activities by Mth'!$AF$55,'LWVC-Stmt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</definedName>
    <definedName name="QB_FORMULA_8" localSheetId="5" hidden="1">'LWVC-Stmt of Fin. Postn. by Mth'!$X$46,'LWVC-Stmt of Fin. Postn. by Mth'!$Z$46,'LWVC-Stmt of Fin. Postn. by Mth'!$AB$46,'LWVC-Stmt of Fin. Postn. by Mth'!$AD$46,'LWVC-Stmt of Fin. Postn. by Mth'!$H$48,'LWVC-Stmt of Fin. Postn. by Mth'!$J$48,'LWVC-Stmt of Fin. Postn. by Mth'!$L$48,'LWVC-Stmt of Fin. Postn. by Mth'!$N$48,'LWVC-Stmt of Fin. Postn. by Mth'!$P$48,'LWVC-Stmt of Fin. Postn. by Mth'!$R$48,'LWVC-Stmt of Fin. Postn. by Mth'!$T$48,'LWVC-Stmt of Fin. Postn. by Mth'!$V$48,'LWVC-Stmt of Fin. Postn. by Mth'!$X$48,'LWVC-Stmt of Fin. Postn. by Mth'!$Z$48,'LWVC-Stmt of Fin. Postn. by Mth'!$AB$48,'LWVC-Stmt of Fin. Postn. by Mth'!$AD$48</definedName>
    <definedName name="QB_FORMULA_9" localSheetId="10" hidden="1">'LWVCEF-Stmt of Fin. Pos. by mth'!$G$82,'LWVCEF-Stmt of Fin. Pos. by mth'!$I$82,'LWVCEF-Stmt of Fin. Pos. by mth'!$K$82,'LWVCEF-Stmt of Fin. Pos. by mth'!$M$82,'LWVCEF-Stmt of Fin. Pos. by mth'!$O$82,'LWVCEF-Stmt of Fin. Pos. by mth'!$Q$82,'LWVCEF-Stmt of Fin. Pos. by mth'!$S$82,'LWVCEF-Stmt of Fin. Pos. by mth'!$U$82,'LWVCEF-Stmt of Fin. Pos. by mth'!$W$82,'LWVCEF-Stmt of Fin. Pos. by mth'!$Y$82,'LWVCEF-Stmt of Fin. Pos. by mth'!$AA$82,'LWVCEF-Stmt of Fin. Pos. by mth'!$AC$82,'LWVCEF-Stmt of Fin. Pos. by mth'!$G$83,'LWVCEF-Stmt of Fin. Pos. by mth'!$I$83,'LWVCEF-Stmt of Fin. Pos. by mth'!$K$83,'LWVCEF-Stmt of Fin. Pos. by mth'!$M$83</definedName>
    <definedName name="QB_FORMULA_9" localSheetId="9" hidden="1">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Month'!#REF!,'LWVCEF-Stmt. of Act. by Month'!#REF!</definedName>
    <definedName name="QB_FORMULA_9" localSheetId="2" hidden="1">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Class'!#REF!,'LWVC-Stmt of Act. by Class'!#REF!</definedName>
    <definedName name="QB_FORMULA_9" localSheetId="4" hidden="1">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Mth'!#REF!,'LWVC-Stmt of Activities by Mth'!#REF!</definedName>
    <definedName name="QB_FORMULA_9" localSheetId="5" hidden="1">'LWVC-Stmt of Fin. Postn. by Mth'!$H$49,'LWVC-Stmt of Fin. Postn. by Mth'!$J$49,'LWVC-Stmt of Fin. Postn. by Mth'!$L$49,'LWVC-Stmt of Fin. Postn. by Mth'!$N$49,'LWVC-Stmt of Fin. Postn. by Mth'!$P$49,'LWVC-Stmt of Fin. Postn. by Mth'!$R$49,'LWVC-Stmt of Fin. Postn. by Mth'!$T$49,'LWVC-Stmt of Fin. Postn. by Mth'!$V$49,'LWVC-Stmt of Fin. Postn. by Mth'!$X$49,'LWVC-Stmt of Fin. Postn. by Mth'!$Z$49,'LWVC-Stmt of Fin. Postn. by Mth'!$AB$49,'LWVC-Stmt of Fin. Postn. by Mth'!$AD$49,'LWVC-Stmt of Fin. Postn. by Mth'!$H$53,'LWVC-Stmt of Fin. Postn. by Mth'!$J$53,'LWVC-Stmt of Fin. Postn. by Mth'!$L$53,'LWVC-Stmt of Fin. Postn. by Mth'!$N$53</definedName>
    <definedName name="QB_ROW_1" localSheetId="10" hidden="1">'LWVCEF-Stmt of Fin. Pos. by mth'!#REF!</definedName>
    <definedName name="QB_ROW_1" localSheetId="5" hidden="1">'LWVC-Stmt of Fin. Postn. by Mth'!$A$2</definedName>
    <definedName name="QB_ROW_10031" localSheetId="10" hidden="1">'LWVCEF-Stmt of Fin. Pos. by mth'!$C$35</definedName>
    <definedName name="QB_ROW_10031" localSheetId="5" hidden="1">'LWVC-Stmt of Fin. Postn. by Mth'!$D$37</definedName>
    <definedName name="QB_ROW_1011" localSheetId="10" hidden="1">'LWVCEF-Stmt of Fin. Pos. by mth'!$A$3</definedName>
    <definedName name="QB_ROW_1011" localSheetId="5" hidden="1">'LWVC-Stmt of Fin. Postn. by Mth'!$B$3</definedName>
    <definedName name="QB_ROW_10331" localSheetId="10" hidden="1">'LWVCEF-Stmt of Fin. Pos. by mth'!$C$37</definedName>
    <definedName name="QB_ROW_10331" localSheetId="5" hidden="1">'LWVC-Stmt of Fin. Postn. by Mth'!$D$39</definedName>
    <definedName name="QB_ROW_11031" localSheetId="5" hidden="1">'LWVC-Stmt of Fin. Postn. by Mth'!$D$40</definedName>
    <definedName name="QB_ROW_11331" localSheetId="5" hidden="1">'LWVC-Stmt of Fin. Postn. by Mth'!$D$49</definedName>
    <definedName name="QB_ROW_12030" localSheetId="5" hidden="1">'LWVC-Stmt of Fin. Postn. by Mth'!$D$17</definedName>
    <definedName name="QB_ROW_12031" localSheetId="10" hidden="1">'LWVCEF-Stmt of Fin. Pos. by mth'!$C$38</definedName>
    <definedName name="QB_ROW_12031" localSheetId="5" hidden="1">'LWVC-Stmt of Fin. Postn. by Mth'!$D$50</definedName>
    <definedName name="QB_ROW_12240" localSheetId="5" hidden="1">'LWVC-Stmt of Fin. Postn. by Mth'!$E$19</definedName>
    <definedName name="QB_ROW_12330" localSheetId="5" hidden="1">'LWVC-Stmt of Fin. Postn. by Mth'!$D$20</definedName>
    <definedName name="QB_ROW_12331" localSheetId="10" hidden="1">'LWVCEF-Stmt of Fin. Pos. by mth'!$C$82</definedName>
    <definedName name="QB_ROW_12331" localSheetId="5" hidden="1">'LWVC-Stmt of Fin. Postn. by Mth'!$D$63</definedName>
    <definedName name="QB_ROW_1240" localSheetId="10" hidden="1">'LWVCEF-Stmt of Fin. Pos. by mth'!$D$80</definedName>
    <definedName name="QB_ROW_1240" localSheetId="5" hidden="1">'LWVC-Stmt of Fin. Postn. by Mth'!$E$61</definedName>
    <definedName name="QB_ROW_13021" localSheetId="5" hidden="1">'LWVC-Stmt of Fin. Postn. by Mth'!$C$65</definedName>
    <definedName name="QB_ROW_1311" localSheetId="10" hidden="1">'LWVCEF-Stmt of Fin. Pos. by mth'!$A$25</definedName>
    <definedName name="QB_ROW_1311" localSheetId="5" hidden="1">'LWVC-Stmt of Fin. Postn. by Mth'!$B$24</definedName>
    <definedName name="QB_ROW_13321" localSheetId="5" hidden="1">'LWVC-Stmt of Fin. Postn. by Mth'!$C$67</definedName>
    <definedName name="QB_ROW_135240" localSheetId="2" hidden="1">'LWVC-Stmt of Act. by Class'!#REF!</definedName>
    <definedName name="QB_ROW_135240" localSheetId="4" hidden="1">'LWVC-Stmt of Activities by Mth'!$E$39</definedName>
    <definedName name="QB_ROW_139340" localSheetId="2" hidden="1">'LWVC-Stmt of Act. by Class'!#REF!</definedName>
    <definedName name="QB_ROW_139340" localSheetId="4" hidden="1">'LWVC-Stmt of Activities by Mth'!$E$45</definedName>
    <definedName name="QB_ROW_14011" localSheetId="10" hidden="1">'LWVCEF-Stmt of Fin. Pos. by mth'!$A$85</definedName>
    <definedName name="QB_ROW_14011" localSheetId="5" hidden="1">'LWVC-Stmt of Fin. Postn. by Mth'!$B$69</definedName>
    <definedName name="QB_ROW_140240" localSheetId="2" hidden="1">'LWVC-Stmt of Act. by Class'!#REF!</definedName>
    <definedName name="QB_ROW_140240" localSheetId="4" hidden="1">'LWVC-Stmt of Activities by Mth'!$E$43</definedName>
    <definedName name="QB_ROW_141240" localSheetId="2" hidden="1">'LWVC-Stmt of Act. by Class'!#REF!</definedName>
    <definedName name="QB_ROW_141240" localSheetId="4" hidden="1">'LWVC-Stmt of Activities by Mth'!$E$44</definedName>
    <definedName name="QB_ROW_142240" localSheetId="2" hidden="1">'LWVC-Stmt of Act. by Class'!#REF!</definedName>
    <definedName name="QB_ROW_142240" localSheetId="4" hidden="1">'LWVC-Stmt of Activities by Mth'!$E$47</definedName>
    <definedName name="QB_ROW_14311" localSheetId="10" hidden="1">'LWVCEF-Stmt of Fin. Pos. by mth'!#REF!</definedName>
    <definedName name="QB_ROW_14311" localSheetId="5" hidden="1">'LWVC-Stmt of Fin. Postn. by Mth'!$B$81</definedName>
    <definedName name="QB_ROW_143240" localSheetId="2" hidden="1">'LWVC-Stmt of Act. by Class'!#REF!</definedName>
    <definedName name="QB_ROW_143240" localSheetId="4" hidden="1">'LWVC-Stmt of Activities by Mth'!$E$42</definedName>
    <definedName name="QB_ROW_144340" localSheetId="2" hidden="1">'LWVC-Stmt of Act. by Class'!#REF!</definedName>
    <definedName name="QB_ROW_144340" localSheetId="4" hidden="1">'LWVC-Stmt of Activities by Mth'!$E$46</definedName>
    <definedName name="QB_ROW_15040" localSheetId="2" hidden="1">'LWVC-Stmt of Act. by Class'!#REF!</definedName>
    <definedName name="QB_ROW_15040" localSheetId="4" hidden="1">'LWVC-Stmt of Activities by Mth'!$E$17</definedName>
    <definedName name="QB_ROW_15340" localSheetId="2" hidden="1">'LWVC-Stmt of Act. by Class'!#REF!</definedName>
    <definedName name="QB_ROW_15340" localSheetId="4" hidden="1">'LWVC-Stmt of Activities by Mth'!$E$30</definedName>
    <definedName name="QB_ROW_15350" localSheetId="11" hidden="1">'FASB117 '!$F$25</definedName>
    <definedName name="QB_ROW_15350" localSheetId="9" hidden="1">'LWVCEF-Stmt. of Act. by Month'!$F$20</definedName>
    <definedName name="QB_ROW_16040" localSheetId="2" hidden="1">'LWVC-Stmt of Act. by Class'!#REF!</definedName>
    <definedName name="QB_ROW_16040" localSheetId="4" hidden="1">'LWVC-Stmt of Activities by Mth'!$E$4</definedName>
    <definedName name="QB_ROW_163240" localSheetId="5" hidden="1">'LWVC-Stmt of Fin. Postn. by Mth'!$E$60</definedName>
    <definedName name="QB_ROW_16340" localSheetId="2" hidden="1">'LWVC-Stmt of Act. by Class'!#REF!</definedName>
    <definedName name="QB_ROW_16340" localSheetId="4" hidden="1">'LWVC-Stmt of Activities by Mth'!$E$8</definedName>
    <definedName name="QB_ROW_165240" localSheetId="5" hidden="1">'LWVC-Stmt of Fin. Postn. by Mth'!$E$38</definedName>
    <definedName name="QB_ROW_166340" localSheetId="11" hidden="1">'FASB117 '!$E$45</definedName>
    <definedName name="QB_ROW_166340" localSheetId="9" hidden="1">'LWVCEF-Stmt. of Act. by Month'!$E$32</definedName>
    <definedName name="QB_ROW_169220" localSheetId="5" hidden="1">'LWVC-Stmt of Fin. Postn. by Mth'!$C$27</definedName>
    <definedName name="QB_ROW_171220" localSheetId="5" hidden="1">'LWVC-Stmt of Fin. Postn. by Mth'!$C$28</definedName>
    <definedName name="QB_ROW_171240" localSheetId="11" hidden="1">'FASB117 '!#REF!</definedName>
    <definedName name="QB_ROW_171240" localSheetId="9" hidden="1">'LWVCEF-Stmt. of Act. by Month'!$E$38</definedName>
    <definedName name="QB_ROW_17221" localSheetId="10" hidden="1">'LWVCEF-Stmt of Fin. Pos. by mth'!#REF!</definedName>
    <definedName name="QB_ROW_17221" localSheetId="5" hidden="1">'LWVC-Stmt of Fin. Postn. by Mth'!$C$80</definedName>
    <definedName name="QB_ROW_172240" localSheetId="11" hidden="1">'FASB117 '!$E$50</definedName>
    <definedName name="QB_ROW_172240" localSheetId="9" hidden="1">'LWVCEF-Stmt. of Act. by Month'!$E$36</definedName>
    <definedName name="QB_ROW_17250" localSheetId="2" hidden="1">'LWVC-Stmt of Act. by Class'!#REF!</definedName>
    <definedName name="QB_ROW_17250" localSheetId="4" hidden="1">'LWVC-Stmt of Activities by Mth'!$F$7</definedName>
    <definedName name="QB_ROW_173230" localSheetId="5" hidden="1">'LWVC-Stmt of Fin. Postn. by Mth'!$D$11</definedName>
    <definedName name="QB_ROW_173240" localSheetId="11" hidden="1">'FASB117 '!$E$51</definedName>
    <definedName name="QB_ROW_173240" localSheetId="9" hidden="1">'LWVCEF-Stmt. of Act. by Month'!$E$37</definedName>
    <definedName name="QB_ROW_174240" localSheetId="11" hidden="1">'FASB117 '!#REF!</definedName>
    <definedName name="QB_ROW_174240" localSheetId="9" hidden="1">'LWVCEF-Stmt. of Act. by Month'!$E$40</definedName>
    <definedName name="QB_ROW_175240" localSheetId="11" hidden="1">'FASB117 '!$E$49</definedName>
    <definedName name="QB_ROW_175240" localSheetId="9" hidden="1">'LWVCEF-Stmt. of Act. by Month'!$E$35</definedName>
    <definedName name="QB_ROW_176340" localSheetId="11" hidden="1">'FASB117 '!#REF!</definedName>
    <definedName name="QB_ROW_176340" localSheetId="9" hidden="1">'LWVCEF-Stmt. of Act. by Month'!$E$39</definedName>
    <definedName name="QB_ROW_178250" localSheetId="4" hidden="1">'LWVC-Stmt of Activities by Mth'!$F$22</definedName>
    <definedName name="QB_ROW_18220" localSheetId="5" hidden="1">'LWVC-Stmt of Fin. Postn. by Mth'!$C$70</definedName>
    <definedName name="QB_ROW_18301" localSheetId="11" hidden="1">'FASB117 '!#REF!</definedName>
    <definedName name="QB_ROW_18301" localSheetId="9" hidden="1">'LWVCEF-Stmt. of Act. by Month'!#REF!</definedName>
    <definedName name="QB_ROW_18301" localSheetId="2" hidden="1">'LWVC-Stmt of Act. by Class'!#REF!</definedName>
    <definedName name="QB_ROW_18301" localSheetId="4" hidden="1">'LWVC-Stmt of Activities by Mth'!#REF!</definedName>
    <definedName name="QB_ROW_190040" localSheetId="5" hidden="1">'LWVC-Stmt of Fin. Postn. by Mth'!$E$41</definedName>
    <definedName name="QB_ROW_19011" localSheetId="11" hidden="1">'FASB117 '!$B$2</definedName>
    <definedName name="QB_ROW_19011" localSheetId="9" hidden="1">'LWVCEF-Stmt. of Act. by Month'!$B$2</definedName>
    <definedName name="QB_ROW_19011" localSheetId="2" hidden="1">'LWVC-Stmt of Act. by Class'!#REF!</definedName>
    <definedName name="QB_ROW_19011" localSheetId="4" hidden="1">'LWVC-Stmt of Activities by Mth'!$B$2</definedName>
    <definedName name="QB_ROW_190250" localSheetId="10" hidden="1">'LWVCEF-Stmt of Fin. Pos. by mth'!$E$45</definedName>
    <definedName name="QB_ROW_190250" localSheetId="5" hidden="1">'LWVC-Stmt of Fin. Postn. by Mth'!$F$47</definedName>
    <definedName name="QB_ROW_190340" localSheetId="5" hidden="1">'LWVC-Stmt of Fin. Postn. by Mth'!$E$48</definedName>
    <definedName name="QB_ROW_19250" localSheetId="2" hidden="1">'LWVC-Stmt of Act. by Class'!#REF!</definedName>
    <definedName name="QB_ROW_19250" localSheetId="4" hidden="1">'LWVC-Stmt of Activities by Mth'!$F$21</definedName>
    <definedName name="QB_ROW_19311" localSheetId="11" hidden="1">'FASB117 '!#REF!</definedName>
    <definedName name="QB_ROW_19311" localSheetId="9" hidden="1">'LWVCEF-Stmt. of Act. by Month'!$B$46</definedName>
    <definedName name="QB_ROW_19311" localSheetId="2" hidden="1">'LWVC-Stmt of Act. by Class'!#REF!</definedName>
    <definedName name="QB_ROW_19311" localSheetId="4" hidden="1">'LWVC-Stmt of Activities by Mth'!#REF!</definedName>
    <definedName name="QB_ROW_194220" localSheetId="5" hidden="1">'LWVC-Stmt of Fin. Postn. by Mth'!$C$31</definedName>
    <definedName name="QB_ROW_194250" localSheetId="10" hidden="1">'LWVCEF-Stmt of Fin. Pos. by mth'!$E$46</definedName>
    <definedName name="QB_ROW_195240" localSheetId="2" hidden="1">'LWVC-Stmt of Act. by Class'!#REF!</definedName>
    <definedName name="QB_ROW_195240" localSheetId="4" hidden="1">'LWVC-Stmt of Activities by Mth'!$E$52</definedName>
    <definedName name="QB_ROW_196230" localSheetId="5" hidden="1">'LWVC-Stmt of Fin. Postn. by Mth'!$D$16</definedName>
    <definedName name="QB_ROW_196350" localSheetId="10" hidden="1">'LWVCEF-Stmt of Fin. Pos. by mth'!$E$47</definedName>
    <definedName name="QB_ROW_198350" localSheetId="10" hidden="1">'LWVCEF-Stmt of Fin. Pos. by mth'!$E$48</definedName>
    <definedName name="QB_ROW_199240" localSheetId="2" hidden="1">'LWVC-Stmt of Act. by Class'!#REF!</definedName>
    <definedName name="QB_ROW_199250" localSheetId="10" hidden="1">'LWVCEF-Stmt of Fin. Pos. by mth'!$E$49</definedName>
    <definedName name="QB_ROW_200230" localSheetId="5" hidden="1">'LWVC-Stmt of Fin. Postn. by Mth'!$D$14</definedName>
    <definedName name="QB_ROW_20031" localSheetId="11" hidden="1">'FASB117 '!$D$3</definedName>
    <definedName name="QB_ROW_20031" localSheetId="9" hidden="1">'LWVCEF-Stmt. of Act. by Month'!$D$3</definedName>
    <definedName name="QB_ROW_20031" localSheetId="2" hidden="1">'LWVC-Stmt of Act. by Class'!#REF!</definedName>
    <definedName name="QB_ROW_20031" localSheetId="4" hidden="1">'LWVC-Stmt of Activities by Mth'!$D$3</definedName>
    <definedName name="QB_ROW_2021" localSheetId="10" hidden="1">'LWVCEF-Stmt of Fin. Pos. by mth'!$B$4</definedName>
    <definedName name="QB_ROW_2021" localSheetId="5" hidden="1">'LWVC-Stmt of Fin. Postn. by Mth'!$C$4</definedName>
    <definedName name="QB_ROW_20331" localSheetId="11" hidden="1">'FASB117 '!$D$34</definedName>
    <definedName name="QB_ROW_20331" localSheetId="9" hidden="1">'LWVCEF-Stmt. of Act. by Month'!$D$25</definedName>
    <definedName name="QB_ROW_20331" localSheetId="2" hidden="1">'LWVC-Stmt of Act. by Class'!#REF!</definedName>
    <definedName name="QB_ROW_20331" localSheetId="4" hidden="1">'LWVC-Stmt of Activities by Mth'!$D$34</definedName>
    <definedName name="QB_ROW_20350" localSheetId="2" hidden="1">'LWVC-Stmt of Act. by Class'!#REF!</definedName>
    <definedName name="QB_ROW_20350" localSheetId="4" hidden="1">'LWVC-Stmt of Activities by Mth'!$F$23</definedName>
    <definedName name="QB_ROW_205040" localSheetId="2" hidden="1">'LWVC-Stmt of Act. by Class'!#REF!</definedName>
    <definedName name="QB_ROW_205040" localSheetId="4" hidden="1">'LWVC-Stmt of Activities by Mth'!$E$9</definedName>
    <definedName name="QB_ROW_205340" localSheetId="2" hidden="1">'LWVC-Stmt of Act. by Class'!#REF!</definedName>
    <definedName name="QB_ROW_205340" localSheetId="4" hidden="1">'LWVC-Stmt of Activities by Mth'!$E$16</definedName>
    <definedName name="QB_ROW_205350" localSheetId="10" hidden="1">'LWVCEF-Stmt of Fin. Pos. by mth'!$E$50</definedName>
    <definedName name="QB_ROW_206250" localSheetId="10" hidden="1">'LWVCEF-Stmt of Fin. Pos. by mth'!$E$51</definedName>
    <definedName name="QB_ROW_207250" localSheetId="10" hidden="1">'LWVCEF-Stmt of Fin. Pos. by mth'!$E$52</definedName>
    <definedName name="QB_ROW_207250" localSheetId="2" hidden="1">'LWVC-Stmt of Act. by Class'!#REF!</definedName>
    <definedName name="QB_ROW_209250" localSheetId="2" hidden="1">'LWVC-Stmt of Act. by Class'!#REF!</definedName>
    <definedName name="QB_ROW_209250" localSheetId="4" hidden="1">'LWVC-Stmt of Activities by Mth'!$F$13</definedName>
    <definedName name="QB_ROW_210240" localSheetId="2" hidden="1">'LWVC-Stmt of Act. by Class'!#REF!</definedName>
    <definedName name="QB_ROW_210240" localSheetId="4" hidden="1">'LWVC-Stmt of Activities by Mth'!$E$41</definedName>
    <definedName name="QB_ROW_21031" localSheetId="11" hidden="1">'FASB117 '!$D$42</definedName>
    <definedName name="QB_ROW_21031" localSheetId="9" hidden="1">'LWVCEF-Stmt. of Act. by Month'!$D$30</definedName>
    <definedName name="QB_ROW_21031" localSheetId="2" hidden="1">'LWVC-Stmt of Act. by Class'!#REF!</definedName>
    <definedName name="QB_ROW_21031" localSheetId="4" hidden="1">'LWVC-Stmt of Activities by Mth'!$D$37</definedName>
    <definedName name="QB_ROW_211240" localSheetId="2" hidden="1">'LWVC-Stmt of Act. by Class'!#REF!</definedName>
    <definedName name="QB_ROW_211240" localSheetId="4" hidden="1">'LWVC-Stmt of Activities by Mth'!$E$48</definedName>
    <definedName name="QB_ROW_212240" localSheetId="2" hidden="1">'LWVC-Stmt of Act. by Class'!#REF!</definedName>
    <definedName name="QB_ROW_212240" localSheetId="4" hidden="1">'LWVC-Stmt of Activities by Mth'!$E$51</definedName>
    <definedName name="QB_ROW_213250" localSheetId="10" hidden="1">'LWVCEF-Stmt of Fin. Pos. by mth'!$E$53</definedName>
    <definedName name="QB_ROW_213250" localSheetId="2" hidden="1">'LWVC-Stmt of Act. by Class'!#REF!</definedName>
    <definedName name="QB_ROW_213250" localSheetId="4" hidden="1">'LWVC-Stmt of Activities by Mth'!$F$6</definedName>
    <definedName name="QB_ROW_21331" localSheetId="11" hidden="1">'FASB117 '!#REF!</definedName>
    <definedName name="QB_ROW_21331" localSheetId="9" hidden="1">'LWVCEF-Stmt. of Act. by Month'!$D$45</definedName>
    <definedName name="QB_ROW_21331" localSheetId="2" hidden="1">'LWVC-Stmt of Act. by Class'!#REF!</definedName>
    <definedName name="QB_ROW_21331" localSheetId="4" hidden="1">'LWVC-Stmt of Activities by Mth'!$D$55</definedName>
    <definedName name="QB_ROW_214340" localSheetId="2" hidden="1">'LWVC-Stmt of Act. by Class'!#REF!</definedName>
    <definedName name="QB_ROW_214340" localSheetId="4" hidden="1">'LWVC-Stmt of Activities by Mth'!$E$38</definedName>
    <definedName name="QB_ROW_218250" localSheetId="2" hidden="1">'LWVC-Stmt of Act. by Class'!#REF!</definedName>
    <definedName name="QB_ROW_218250" localSheetId="4" hidden="1">'LWVC-Stmt of Activities by Mth'!$F$10</definedName>
    <definedName name="QB_ROW_219250" localSheetId="10" hidden="1">'LWVCEF-Stmt of Fin. Pos. by mth'!$E$54</definedName>
    <definedName name="QB_ROW_22011" localSheetId="9" hidden="1">'LWVCEF-Stmt. of Act. by Month'!#REF!</definedName>
    <definedName name="QB_ROW_22011" localSheetId="2" hidden="1">'LWVC-Stmt of Act. by Class'!#REF!</definedName>
    <definedName name="QB_ROW_220250" localSheetId="10" hidden="1">'LWVCEF-Stmt of Fin. Pos. by mth'!$E$55</definedName>
    <definedName name="QB_ROW_22040" localSheetId="11" hidden="1">'FASB117 '!$E$4</definedName>
    <definedName name="QB_ROW_22040" localSheetId="9" hidden="1">'LWVCEF-Stmt. of Act. by Month'!$E$4</definedName>
    <definedName name="QB_ROW_221250" localSheetId="10" hidden="1">'LWVCEF-Stmt of Fin. Pos. by mth'!$E$56</definedName>
    <definedName name="QB_ROW_222250" localSheetId="10" hidden="1">'LWVCEF-Stmt of Fin. Pos. by mth'!$E$57</definedName>
    <definedName name="QB_ROW_22311" localSheetId="9" hidden="1">'LWVCEF-Stmt. of Act. by Month'!#REF!</definedName>
    <definedName name="QB_ROW_22311" localSheetId="2" hidden="1">'LWVC-Stmt of Act. by Class'!#REF!</definedName>
    <definedName name="QB_ROW_22311" localSheetId="4" hidden="1">'LWVC-Stmt of Activities by Mth'!#REF!</definedName>
    <definedName name="QB_ROW_22340" localSheetId="11" hidden="1">'FASB117 '!$E$19</definedName>
    <definedName name="QB_ROW_22340" localSheetId="9" hidden="1">'LWVCEF-Stmt. of Act. by Month'!$E$15</definedName>
    <definedName name="QB_ROW_224250" localSheetId="10" hidden="1">'LWVCEF-Stmt of Fin. Pos. by mth'!$E$58</definedName>
    <definedName name="QB_ROW_226250" localSheetId="10" hidden="1">'LWVCEF-Stmt of Fin. Pos. by mth'!$E$59</definedName>
    <definedName name="QB_ROW_226250" localSheetId="2" hidden="1">'LWVC-Stmt of Act. by Class'!#REF!</definedName>
    <definedName name="QB_ROW_226250" localSheetId="4" hidden="1">'LWVC-Stmt of Activities by Mth'!$F$5</definedName>
    <definedName name="QB_ROW_227050" localSheetId="10" hidden="1">'LWVCEF-Stmt of Fin. Pos. by mth'!$E$60</definedName>
    <definedName name="QB_ROW_227260" localSheetId="10" hidden="1">'LWVCEF-Stmt of Fin. Pos. by mth'!$F$62</definedName>
    <definedName name="QB_ROW_227350" localSheetId="10" hidden="1">'LWVCEF-Stmt of Fin. Pos. by mth'!$E$63</definedName>
    <definedName name="QB_ROW_228250" localSheetId="10" hidden="1">'LWVCEF-Stmt of Fin. Pos. by mth'!$E$64</definedName>
    <definedName name="QB_ROW_229230" localSheetId="5" hidden="1">'LWVC-Stmt of Fin. Postn. by Mth'!$D$21</definedName>
    <definedName name="QB_ROW_229250" localSheetId="10" hidden="1">'LWVCEF-Stmt of Fin. Pos. by mth'!$E$65</definedName>
    <definedName name="QB_ROW_2321" localSheetId="10" hidden="1">'LWVCEF-Stmt of Fin. Pos. by mth'!$B$11</definedName>
    <definedName name="QB_ROW_2321" localSheetId="5" hidden="1">'LWVC-Stmt of Fin. Postn. by Mth'!$C$9</definedName>
    <definedName name="QB_ROW_23250" localSheetId="11" hidden="1">'FASB117 '!$F$11</definedName>
    <definedName name="QB_ROW_23250" localSheetId="9" hidden="1">'LWVCEF-Stmt. of Act. by Month'!$F$10</definedName>
    <definedName name="QB_ROW_23321" localSheetId="9" hidden="1">'LWVCEF-Stmt. of Act. by Month'!#REF!</definedName>
    <definedName name="QB_ROW_235250" localSheetId="10" hidden="1">'LWVCEF-Stmt of Fin. Pos. by mth'!$E$66</definedName>
    <definedName name="QB_ROW_238240" localSheetId="2" hidden="1">'LWVC-Stmt of Act. by Class'!#REF!</definedName>
    <definedName name="QB_ROW_238350" localSheetId="10" hidden="1">'LWVCEF-Stmt of Fin. Pos. by mth'!$E$67</definedName>
    <definedName name="QB_ROW_239350" localSheetId="10" hidden="1">'LWVCEF-Stmt of Fin. Pos. by mth'!$E$68</definedName>
    <definedName name="QB_ROW_24021" localSheetId="2" hidden="1">'LWVC-Stmt of Act. by Class'!#REF!</definedName>
    <definedName name="QB_ROW_240240" localSheetId="5" hidden="1">'LWVC-Stmt of Fin. Postn. by Mth'!$E$6</definedName>
    <definedName name="QB_ROW_24321" localSheetId="2" hidden="1">'LWVC-Stmt of Act. by Class'!#REF!</definedName>
    <definedName name="QB_ROW_244240" localSheetId="5" hidden="1">'LWVC-Stmt of Fin. Postn. by Mth'!$E$62</definedName>
    <definedName name="QB_ROW_245250" localSheetId="10" hidden="1">'LWVCEF-Stmt of Fin. Pos. by mth'!$E$69</definedName>
    <definedName name="QB_ROW_246350" localSheetId="10" hidden="1">'LWVCEF-Stmt of Fin. Pos. by mth'!$E$70</definedName>
    <definedName name="QB_ROW_247230" localSheetId="5" hidden="1">'LWVC-Stmt of Fin. Postn. by Mth'!$D$22</definedName>
    <definedName name="QB_ROW_247350" localSheetId="10" hidden="1">'LWVCEF-Stmt of Fin. Pos. by mth'!$E$71</definedName>
    <definedName name="QB_ROW_248050" localSheetId="5" hidden="1">'LWVC-Stmt of Fin. Postn. by Mth'!$F$42</definedName>
    <definedName name="QB_ROW_248350" localSheetId="5" hidden="1">'LWVC-Stmt of Fin. Postn. by Mth'!$F$46</definedName>
    <definedName name="QB_ROW_250250" localSheetId="10" hidden="1">'LWVCEF-Stmt of Fin. Pos. by mth'!$E$72</definedName>
    <definedName name="QB_ROW_252350" localSheetId="10" hidden="1">'LWVCEF-Stmt of Fin. Pos. by mth'!$E$73</definedName>
    <definedName name="QB_ROW_25250" localSheetId="11" hidden="1">'FASB117 '!$F$13</definedName>
    <definedName name="QB_ROW_25250" localSheetId="9" hidden="1">'LWVCEF-Stmt. of Act. by Month'!$F$12</definedName>
    <definedName name="QB_ROW_253230" localSheetId="2" hidden="1">'LWVC-Stmt of Act. by Class'!#REF!</definedName>
    <definedName name="QB_ROW_254230" localSheetId="5" hidden="1">'LWVC-Stmt of Fin. Postn. by Mth'!$D$66</definedName>
    <definedName name="QB_ROW_256220" localSheetId="5" hidden="1">'LWVC-Stmt of Fin. Postn. by Mth'!$C$26</definedName>
    <definedName name="QB_ROW_256350" localSheetId="10" hidden="1">'LWVCEF-Stmt of Fin. Pos. by mth'!$E$74</definedName>
    <definedName name="QB_ROW_257240" localSheetId="2" hidden="1">'LWVC-Stmt of Act. by Class'!#REF!</definedName>
    <definedName name="QB_ROW_257240" localSheetId="4" hidden="1">'LWVC-Stmt of Activities by Mth'!$E$31</definedName>
    <definedName name="QB_ROW_257250" localSheetId="10" hidden="1">'LWVCEF-Stmt of Fin. Pos. by mth'!$E$75</definedName>
    <definedName name="QB_ROW_260230" localSheetId="5" hidden="1">'LWVC-Stmt of Fin. Postn. by Mth'!$D$15</definedName>
    <definedName name="QB_ROW_261250" localSheetId="10" hidden="1">'LWVCEF-Stmt of Fin. Pos. by mth'!$E$76</definedName>
    <definedName name="QB_ROW_264250" localSheetId="10" hidden="1">'LWVCEF-Stmt of Fin. Pos. by mth'!$E$77</definedName>
    <definedName name="QB_ROW_265260" localSheetId="5" hidden="1">'LWVC-Stmt of Fin. Postn. by Mth'!$G$43</definedName>
    <definedName name="QB_ROW_266240" localSheetId="5" hidden="1">'LWVC-Stmt of Fin. Postn. by Mth'!$E$7</definedName>
    <definedName name="QB_ROW_267260" localSheetId="5" hidden="1">'LWVC-Stmt of Fin. Postn. by Mth'!$G$44</definedName>
    <definedName name="QB_ROW_268340" localSheetId="2" hidden="1">'LWVC-Stmt of Act. by Class'!#REF!</definedName>
    <definedName name="QB_ROW_268340" localSheetId="4" hidden="1">'LWVC-Stmt of Activities by Mth'!$E$33</definedName>
    <definedName name="QB_ROW_27050" localSheetId="2" hidden="1">'LWVC-Stmt of Act. by Class'!#REF!</definedName>
    <definedName name="QB_ROW_27050" localSheetId="4" hidden="1">'LWVC-Stmt of Activities by Mth'!$F$24</definedName>
    <definedName name="QB_ROW_271240" localSheetId="10" hidden="1">'LWVCEF-Stmt of Fin. Pos. by mth'!$D$36</definedName>
    <definedName name="QB_ROW_27260" localSheetId="4" hidden="1">'LWVC-Stmt of Activities by Mth'!$G$28</definedName>
    <definedName name="QB_ROW_27350" localSheetId="2" hidden="1">'LWVC-Stmt of Act. by Class'!#REF!</definedName>
    <definedName name="QB_ROW_27350" localSheetId="4" hidden="1">'LWVC-Stmt of Activities by Mth'!$F$29</definedName>
    <definedName name="QB_ROW_283240" localSheetId="5" hidden="1">'LWVC-Stmt of Fin. Postn. by Mth'!$E$18</definedName>
    <definedName name="QB_ROW_284240" localSheetId="2" hidden="1">'LWVC-Stmt of Act. by Class'!#REF!</definedName>
    <definedName name="QB_ROW_284240" localSheetId="4" hidden="1">'LWVC-Stmt of Activities by Mth'!$E$40</definedName>
    <definedName name="QB_ROW_287250" localSheetId="2" hidden="1">'LWVC-Stmt of Act. by Class'!#REF!</definedName>
    <definedName name="QB_ROW_287250" localSheetId="4" hidden="1">'LWVC-Stmt of Activities by Mth'!$F$11</definedName>
    <definedName name="QB_ROW_289260" localSheetId="2" hidden="1">'LWVC-Stmt of Act. by Class'!#REF!</definedName>
    <definedName name="QB_ROW_289260" localSheetId="4" hidden="1">'LWVC-Stmt of Activities by Mth'!$G$25</definedName>
    <definedName name="QB_ROW_291230" localSheetId="10" hidden="1">'LWVCEF-Stmt of Fin. Pos. by mth'!$C$92</definedName>
    <definedName name="QB_ROW_291260" localSheetId="5" hidden="1">'LWVC-Stmt of Fin. Postn. by Mth'!$G$45</definedName>
    <definedName name="QB_ROW_294250" localSheetId="2" hidden="1">'LWVC-Stmt of Act. by Class'!#REF!</definedName>
    <definedName name="QB_ROW_294250" localSheetId="4" hidden="1">'LWVC-Stmt of Activities by Mth'!$F$15</definedName>
    <definedName name="QB_ROW_295240" localSheetId="5" hidden="1">'LWVC-Stmt of Fin. Postn. by Mth'!$E$59</definedName>
    <definedName name="QB_ROW_297020" localSheetId="5" hidden="1">'LWVC-Stmt of Fin. Postn. by Mth'!$C$71</definedName>
    <definedName name="QB_ROW_297320" localSheetId="5" hidden="1">'LWVC-Stmt of Fin. Postn. by Mth'!$C$76</definedName>
    <definedName name="QB_ROW_298230" localSheetId="5" hidden="1">'LWVC-Stmt of Fin. Postn. by Mth'!$D$72</definedName>
    <definedName name="QB_ROW_299230" localSheetId="5" hidden="1">'LWVC-Stmt of Fin. Postn. by Mth'!$D$73</definedName>
    <definedName name="QB_ROW_300260" localSheetId="2" hidden="1">'LWVC-Stmt of Act. by Class'!#REF!</definedName>
    <definedName name="QB_ROW_300260" localSheetId="4" hidden="1">'LWVC-Stmt of Activities by Mth'!$G$26</definedName>
    <definedName name="QB_ROW_301" localSheetId="10" hidden="1">'LWVCEF-Stmt of Fin. Pos. by mth'!#REF!</definedName>
    <definedName name="QB_ROW_301" localSheetId="5" hidden="1">'LWVC-Stmt of Fin. Postn. by Mth'!$A$33</definedName>
    <definedName name="QB_ROW_301260" localSheetId="2" hidden="1">'LWVC-Stmt of Act. by Class'!#REF!</definedName>
    <definedName name="QB_ROW_301260" localSheetId="4" hidden="1">'LWVC-Stmt of Activities by Mth'!$G$27</definedName>
    <definedName name="QB_ROW_3021" localSheetId="10" hidden="1">'LWVCEF-Stmt of Fin. Pos. by mth'!$B$12</definedName>
    <definedName name="QB_ROW_3021" localSheetId="5" hidden="1">'LWVC-Stmt of Fin. Postn. by Mth'!$C$10</definedName>
    <definedName name="QB_ROW_302230" localSheetId="5" hidden="1">'LWVC-Stmt of Fin. Postn. by Mth'!$D$74</definedName>
    <definedName name="QB_ROW_303230" localSheetId="5" hidden="1">'LWVC-Stmt of Fin. Postn. by Mth'!$D$75</definedName>
    <definedName name="QB_ROW_3040" localSheetId="5" hidden="1">'LWVC-Stmt of Fin. Postn. by Mth'!$E$55</definedName>
    <definedName name="QB_ROW_304240" localSheetId="2" hidden="1">'LWVC-Stmt of Act. by Class'!#REF!</definedName>
    <definedName name="QB_ROW_304240" localSheetId="4" hidden="1">'LWVC-Stmt of Activities by Mth'!$E$53</definedName>
    <definedName name="QB_ROW_305250" localSheetId="5" hidden="1">'LWVC-Stmt of Fin. Postn. by Mth'!$F$56</definedName>
    <definedName name="QB_ROW_306040" localSheetId="5" hidden="1">'LWVC-Stmt of Fin. Postn. by Mth'!$E$51</definedName>
    <definedName name="QB_ROW_306340" localSheetId="5" hidden="1">'LWVC-Stmt of Fin. Postn. by Mth'!$E$53</definedName>
    <definedName name="QB_ROW_307250" localSheetId="5" hidden="1">'LWVC-Stmt of Fin. Postn. by Mth'!$F$52</definedName>
    <definedName name="QB_ROW_308020" localSheetId="5" hidden="1">'LWVC-Stmt of Fin. Postn. by Mth'!$C$77</definedName>
    <definedName name="QB_ROW_308320" localSheetId="5" hidden="1">'LWVC-Stmt of Fin. Postn. by Mth'!$C$79</definedName>
    <definedName name="QB_ROW_309230" localSheetId="5" hidden="1">'LWVC-Stmt of Fin. Postn. by Mth'!$D$78</definedName>
    <definedName name="QB_ROW_310250" localSheetId="4" hidden="1">'LWVC-Stmt of Activities by Mth'!$F$14</definedName>
    <definedName name="QB_ROW_31250" localSheetId="11" hidden="1">'FASB117 '!$F$21</definedName>
    <definedName name="QB_ROW_31250" localSheetId="9" hidden="1">'LWVCEF-Stmt. of Act. by Month'!$F$17</definedName>
    <definedName name="QB_ROW_313240" localSheetId="4" hidden="1">'LWVC-Stmt of Activities by Mth'!$E$54</definedName>
    <definedName name="QB_ROW_313250" localSheetId="11" hidden="1">'FASB117 '!$F$23</definedName>
    <definedName name="QB_ROW_313250" localSheetId="9" hidden="1">'LWVCEF-Stmt. of Act. by Month'!$F$19</definedName>
    <definedName name="QB_ROW_32250" localSheetId="11" hidden="1">'FASB117 '!$F$22</definedName>
    <definedName name="QB_ROW_32250" localSheetId="9" hidden="1">'LWVCEF-Stmt. of Act. by Month'!$F$18</definedName>
    <definedName name="QB_ROW_3250" localSheetId="5" hidden="1">'LWVC-Stmt of Fin. Postn. by Mth'!$F$57</definedName>
    <definedName name="QB_ROW_3321" localSheetId="10" hidden="1">'LWVCEF-Stmt of Fin. Pos. by mth'!$B$14</definedName>
    <definedName name="QB_ROW_3321" localSheetId="5" hidden="1">'LWVC-Stmt of Fin. Postn. by Mth'!$C$12</definedName>
    <definedName name="QB_ROW_33250" localSheetId="2" hidden="1">'LWVC-Stmt of Act. by Class'!#REF!</definedName>
    <definedName name="QB_ROW_33250" localSheetId="4" hidden="1">'LWVC-Stmt of Activities by Mth'!$F$12</definedName>
    <definedName name="QB_ROW_3340" localSheetId="5" hidden="1">'LWVC-Stmt of Fin. Postn. by Mth'!$E$58</definedName>
    <definedName name="QB_ROW_369230" localSheetId="10" hidden="1">'LWVCEF-Stmt of Fin. Pos. by mth'!$C$13</definedName>
    <definedName name="QB_ROW_378340" localSheetId="11" hidden="1">'FASB117 '!#REF!</definedName>
    <definedName name="QB_ROW_378340" localSheetId="9" hidden="1">'LWVCEF-Stmt. of Act. by Month'!$E$41</definedName>
    <definedName name="QB_ROW_379340" localSheetId="11" hidden="1">'FASB117 '!#REF!</definedName>
    <definedName name="QB_ROW_379340" localSheetId="9" hidden="1">'LWVCEF-Stmt. of Act. by Month'!$E$44</definedName>
    <definedName name="QB_ROW_38250" localSheetId="2" hidden="1">'LWVC-Stmt of Act. by Class'!#REF!</definedName>
    <definedName name="QB_ROW_38250" localSheetId="4" hidden="1">'LWVC-Stmt of Activities by Mth'!$F$18</definedName>
    <definedName name="QB_ROW_386240" localSheetId="11" hidden="1">'FASB117 '!$E$36</definedName>
    <definedName name="QB_ROW_386240" localSheetId="9" hidden="1">'LWVCEF-Stmt. of Act. by Month'!$E$27</definedName>
    <definedName name="QB_ROW_39250" localSheetId="2" hidden="1">'LWVC-Stmt of Act. by Class'!#REF!</definedName>
    <definedName name="QB_ROW_39250" localSheetId="4" hidden="1">'LWVC-Stmt of Activities by Mth'!$F$19</definedName>
    <definedName name="QB_ROW_395020" localSheetId="10" hidden="1">'LWVCEF-Stmt of Fin. Pos. by mth'!$B$91</definedName>
    <definedName name="QB_ROW_395320" localSheetId="10" hidden="1">'LWVCEF-Stmt of Fin. Pos. by mth'!#REF!</definedName>
    <definedName name="QB_ROW_397340" localSheetId="11" hidden="1">'FASB117 '!#REF!</definedName>
    <definedName name="QB_ROW_397340" localSheetId="9" hidden="1">'LWVCEF-Stmt. of Act. by Month'!$E$42</definedName>
    <definedName name="QB_ROW_401250" localSheetId="11" hidden="1">'FASB117 '!$F$17</definedName>
    <definedName name="QB_ROW_4021" localSheetId="10" hidden="1">'LWVCEF-Stmt of Fin. Pos. by mth'!$B$15</definedName>
    <definedName name="QB_ROW_4021" localSheetId="5" hidden="1">'LWVC-Stmt of Fin. Postn. by Mth'!$C$13</definedName>
    <definedName name="QB_ROW_402340" localSheetId="11" hidden="1">'FASB117 '!$E$43</definedName>
    <definedName name="QB_ROW_402340" localSheetId="9" hidden="1">'LWVCEF-Stmt. of Act. by Month'!$E$31</definedName>
    <definedName name="QB_ROW_406340" localSheetId="11" hidden="1">'FASB117 '!#REF!</definedName>
    <definedName name="QB_ROW_406340" localSheetId="9" hidden="1">'LWVCEF-Stmt. of Act. by Month'!$E$43</definedName>
    <definedName name="QB_ROW_4220" localSheetId="10" hidden="1">'LWVCEF-Stmt of Fin. Pos. by mth'!$B$86</definedName>
    <definedName name="QB_ROW_424220" localSheetId="10" hidden="1">'LWVCEF-Stmt of Fin. Pos. by mth'!$B$28</definedName>
    <definedName name="QB_ROW_425220" localSheetId="10" hidden="1">'LWVCEF-Stmt of Fin. Pos. by mth'!$B$29</definedName>
    <definedName name="QB_ROW_427240" localSheetId="11" hidden="1">'FASB117 '!#REF!</definedName>
    <definedName name="QB_ROW_43040" localSheetId="11" hidden="1">'FASB117 '!$E$29</definedName>
    <definedName name="QB_ROW_4321" localSheetId="10" hidden="1">'LWVCEF-Stmt of Fin. Pos. by mth'!$B$24</definedName>
    <definedName name="QB_ROW_4321" localSheetId="5" hidden="1">'LWVC-Stmt of Fin. Postn. by Mth'!$C$23</definedName>
    <definedName name="QB_ROW_43240" localSheetId="2" hidden="1">'LWVC-Stmt of Act. by Class'!#REF!</definedName>
    <definedName name="QB_ROW_43240" localSheetId="4" hidden="1">'LWVC-Stmt of Activities by Mth'!$E$32</definedName>
    <definedName name="QB_ROW_43250" localSheetId="11" hidden="1">'FASB117 '!$F$32</definedName>
    <definedName name="QB_ROW_43340" localSheetId="11" hidden="1">'FASB117 '!$E$33</definedName>
    <definedName name="QB_ROW_43340" localSheetId="9" hidden="1">'LWVCEF-Stmt. of Act. by Month'!$E$24</definedName>
    <definedName name="QB_ROW_434240" localSheetId="11" hidden="1">'FASB117 '!$E$48</definedName>
    <definedName name="QB_ROW_434240" localSheetId="9" hidden="1">'LWVCEF-Stmt. of Act. by Month'!$E$34</definedName>
    <definedName name="QB_ROW_439220" localSheetId="10" hidden="1">'LWVCEF-Stmt of Fin. Pos. by mth'!$B$27</definedName>
    <definedName name="QB_ROW_440230" localSheetId="10" hidden="1">'LWVCEF-Stmt of Fin. Pos. by mth'!$C$23</definedName>
    <definedName name="QB_ROW_44240" localSheetId="11" hidden="1">'FASB117 '!$E$28</definedName>
    <definedName name="QB_ROW_44240" localSheetId="9" hidden="1">'LWVCEF-Stmt. of Act. by Month'!$E$23</definedName>
    <definedName name="QB_ROW_445030" localSheetId="10" hidden="1">'LWVCEF-Stmt of Fin. Pos. by mth'!$C$5</definedName>
    <definedName name="QB_ROW_445330" localSheetId="10" hidden="1">'LWVCEF-Stmt of Fin. Pos. by mth'!$C$7</definedName>
    <definedName name="QB_ROW_446240" localSheetId="10" hidden="1">'LWVCEF-Stmt of Fin. Pos. by mth'!$D$6</definedName>
    <definedName name="QB_ROW_45250" localSheetId="11" hidden="1">'FASB117 '!$F$31</definedName>
    <definedName name="QB_ROW_453240" localSheetId="10" hidden="1">'LWVCEF-Stmt of Fin. Pos. by mth'!$D$81</definedName>
    <definedName name="QB_ROW_455230" localSheetId="10" hidden="1">'LWVCEF-Stmt of Fin. Pos. by mth'!$C$8</definedName>
    <definedName name="QB_ROW_457240" localSheetId="10" hidden="1">'LWVCEF-Stmt of Fin. Pos. by mth'!#REF!</definedName>
    <definedName name="QB_ROW_465230" localSheetId="10" hidden="1">'LWVCEF-Stmt of Fin. Pos. by mth'!$C$9</definedName>
    <definedName name="QB_ROW_474230" localSheetId="10" hidden="1">'LWVCEF-Stmt of Fin. Pos. by mth'!$C$16</definedName>
    <definedName name="QB_ROW_476230" localSheetId="10" hidden="1">'LWVCEF-Stmt of Fin. Pos. by mth'!$C$10</definedName>
    <definedName name="QB_ROW_489250" localSheetId="10" hidden="1">'LWVCEF-Stmt of Fin. Pos. by mth'!$E$40</definedName>
    <definedName name="QB_ROW_491240" localSheetId="11" hidden="1">'FASB117 '!$E$27</definedName>
    <definedName name="QB_ROW_491240" localSheetId="9" hidden="1">'LWVCEF-Stmt. of Act. by Month'!$E$22</definedName>
    <definedName name="QB_ROW_494240" localSheetId="11" hidden="1">'FASB117 '!$E$47</definedName>
    <definedName name="QB_ROW_494240" localSheetId="9" hidden="1">'LWVCEF-Stmt. of Act. by Month'!$E$33</definedName>
    <definedName name="QB_ROW_496230" localSheetId="10" hidden="1">'LWVCEF-Stmt of Fin. Pos. by mth'!$C$22</definedName>
    <definedName name="QB_ROW_498030" localSheetId="10" hidden="1">'LWVCEF-Stmt of Fin. Pos. by mth'!$C$17</definedName>
    <definedName name="QB_ROW_498330" localSheetId="10" hidden="1">'LWVCEF-Stmt of Fin. Pos. by mth'!$C$20</definedName>
    <definedName name="QB_ROW_5011" localSheetId="10" hidden="1">'LWVCEF-Stmt of Fin. Pos. by mth'!$A$26</definedName>
    <definedName name="QB_ROW_5011" localSheetId="5" hidden="1">'LWVC-Stmt of Fin. Postn. by Mth'!$B$25</definedName>
    <definedName name="QB_ROW_501250" localSheetId="11" hidden="1">'FASB117 '!$F$9</definedName>
    <definedName name="QB_ROW_501250" localSheetId="9" hidden="1">'LWVCEF-Stmt. of Act. by Month'!$F$8</definedName>
    <definedName name="QB_ROW_502250" localSheetId="11" hidden="1">'FASB117 '!$F$12</definedName>
    <definedName name="QB_ROW_502250" localSheetId="9" hidden="1">'LWVCEF-Stmt. of Act. by Month'!$F$11</definedName>
    <definedName name="QB_ROW_5050" localSheetId="11" hidden="1">'FASB117 '!$F$5</definedName>
    <definedName name="QB_ROW_5050" localSheetId="9" hidden="1">'LWVCEF-Stmt. of Act. by Month'!$F$5</definedName>
    <definedName name="QB_ROW_505250" localSheetId="11" hidden="1">'FASB117 '!$F$16</definedName>
    <definedName name="QB_ROW_505250" localSheetId="9" hidden="1">'LWVCEF-Stmt. of Act. by Month'!$F$13</definedName>
    <definedName name="QB_ROW_507260" localSheetId="11" hidden="1">'FASB117 '!$G$6</definedName>
    <definedName name="QB_ROW_507260" localSheetId="9" hidden="1">'LWVCEF-Stmt. of Act. by Month'!$G$6</definedName>
    <definedName name="QB_ROW_508240" localSheetId="11" hidden="1">'FASB117 '!$E$44</definedName>
    <definedName name="QB_ROW_51240" localSheetId="2" hidden="1">'LWVC-Stmt of Act. by Class'!#REF!</definedName>
    <definedName name="QB_ROW_51240" localSheetId="4" hidden="1">'LWVC-Stmt of Activities by Mth'!$E$50</definedName>
    <definedName name="QB_ROW_513020" localSheetId="10" hidden="1">'LWVCEF-Stmt of Fin. Pos. by mth'!$B$87</definedName>
    <definedName name="QB_ROW_513320" localSheetId="10" hidden="1">'LWVCEF-Stmt of Fin. Pos. by mth'!$B$90</definedName>
    <definedName name="QB_ROW_525030" localSheetId="10" hidden="1">'LWVCEF-Stmt of Fin. Pos. by mth'!$C$93</definedName>
    <definedName name="QB_ROW_525330" localSheetId="10" hidden="1">'LWVCEF-Stmt of Fin. Pos. by mth'!$C$95</definedName>
    <definedName name="QB_ROW_5260" localSheetId="11" hidden="1">'FASB117 '!$G$7</definedName>
    <definedName name="QB_ROW_529250" localSheetId="9" hidden="1">'LWVCEF-Stmt. of Act. by Month'!$F$14</definedName>
    <definedName name="QB_ROW_5311" localSheetId="10" hidden="1">'LWVCEF-Stmt of Fin. Pos. by mth'!$A$30</definedName>
    <definedName name="QB_ROW_5311" localSheetId="5" hidden="1">'LWVC-Stmt of Fin. Postn. by Mth'!$B$29</definedName>
    <definedName name="QB_ROW_531250" localSheetId="9" hidden="1">'LWVCEF-Stmt. of Act. by Month'!$F$9</definedName>
    <definedName name="QB_ROW_532030" localSheetId="10" hidden="1">'LWVCEF-Stmt of Fin. Pos. by mth'!$C$96</definedName>
    <definedName name="QB_ROW_532330" localSheetId="10" hidden="1">'LWVCEF-Stmt of Fin. Pos. by mth'!$C$100</definedName>
    <definedName name="QB_ROW_533240" localSheetId="10" hidden="1">'LWVCEF-Stmt of Fin. Pos. by mth'!$D$97</definedName>
    <definedName name="QB_ROW_53340" localSheetId="2" hidden="1">'LWVC-Stmt of Act. by Class'!#REF!</definedName>
    <definedName name="QB_ROW_53340" localSheetId="4" hidden="1">'LWVC-Stmt of Activities by Mth'!$E$49</definedName>
    <definedName name="QB_ROW_534240" localSheetId="10" hidden="1">'LWVCEF-Stmt of Fin. Pos. by mth'!$D$98</definedName>
    <definedName name="QB_ROW_5350" localSheetId="11" hidden="1">'FASB117 '!$F$8</definedName>
    <definedName name="QB_ROW_5350" localSheetId="9" hidden="1">'LWVCEF-Stmt. of Act. by Month'!$F$7</definedName>
    <definedName name="QB_ROW_535240" localSheetId="10" hidden="1">'LWVCEF-Stmt of Fin. Pos. by mth'!$D$18</definedName>
    <definedName name="QB_ROW_537230" localSheetId="10" hidden="1">'LWVCEF-Stmt of Fin. Pos. by mth'!$C$89</definedName>
    <definedName name="QB_ROW_538230" localSheetId="10" hidden="1">'LWVCEF-Stmt of Fin. Pos. by mth'!$C$88</definedName>
    <definedName name="QB_ROW_539240" localSheetId="10" hidden="1">'LWVCEF-Stmt of Fin. Pos. by mth'!$D$19</definedName>
    <definedName name="QB_ROW_540240" localSheetId="10" hidden="1">'LWVCEF-Stmt of Fin. Pos. by mth'!$D$94</definedName>
    <definedName name="QB_ROW_541230" localSheetId="10" hidden="1">'LWVCEF-Stmt of Fin. Pos. by mth'!$C$101</definedName>
    <definedName name="QB_ROW_542240" localSheetId="10" hidden="1">'LWVCEF-Stmt of Fin. Pos. by mth'!$D$99</definedName>
    <definedName name="QB_ROW_544260" localSheetId="10" hidden="1">'LWVCEF-Stmt of Fin. Pos. by mth'!$F$61</definedName>
    <definedName name="QB_ROW_545250" localSheetId="10" hidden="1">'LWVCEF-Stmt of Fin. Pos. by mth'!$E$78</definedName>
    <definedName name="QB_ROW_546250" localSheetId="10" hidden="1">'LWVCEF-Stmt of Fin. Pos. by mth'!$E$44</definedName>
    <definedName name="QB_ROW_6011" localSheetId="5" hidden="1">'LWVC-Stmt of Fin. Postn. by Mth'!$B$30</definedName>
    <definedName name="QB_ROW_6040" localSheetId="11" hidden="1">'FASB117 '!$E$20</definedName>
    <definedName name="QB_ROW_6040" localSheetId="9" hidden="1">'LWVCEF-Stmt. of Act. by Month'!$E$16</definedName>
    <definedName name="QB_ROW_62340" localSheetId="2" hidden="1">'LWVC-Stmt of Act. by Class'!#REF!</definedName>
    <definedName name="QB_ROW_63040" localSheetId="10" hidden="1">'LWVCEF-Stmt of Fin. Pos. by mth'!$D$39</definedName>
    <definedName name="QB_ROW_6311" localSheetId="5" hidden="1">'LWVC-Stmt of Fin. Postn. by Mth'!$B$32</definedName>
    <definedName name="QB_ROW_63250" localSheetId="10" hidden="1">'LWVCEF-Stmt of Fin. Pos. by mth'!$E$41</definedName>
    <definedName name="QB_ROW_63340" localSheetId="10" hidden="1">'LWVCEF-Stmt of Fin. Pos. by mth'!$D$42</definedName>
    <definedName name="QB_ROW_6340" localSheetId="11" hidden="1">'FASB117 '!$E$26</definedName>
    <definedName name="QB_ROW_6340" localSheetId="9" hidden="1">'LWVCEF-Stmt. of Act. by Month'!$E$21</definedName>
    <definedName name="QB_ROW_64040" localSheetId="10" hidden="1">'LWVCEF-Stmt of Fin. Pos. by mth'!$D$43</definedName>
    <definedName name="QB_ROW_64340" localSheetId="10" hidden="1">'LWVCEF-Stmt of Fin. Pos. by mth'!$D$79</definedName>
    <definedName name="QB_ROW_68240" localSheetId="11" hidden="1">'FASB117 '!#REF!</definedName>
    <definedName name="QB_ROW_7001" localSheetId="10" hidden="1">'LWVCEF-Stmt of Fin. Pos. by mth'!#REF!</definedName>
    <definedName name="QB_ROW_7001" localSheetId="5" hidden="1">'LWVC-Stmt of Fin. Postn. by Mth'!$A$34</definedName>
    <definedName name="QB_ROW_7030" localSheetId="5" hidden="1">'LWVC-Stmt of Fin. Postn. by Mth'!$D$5</definedName>
    <definedName name="QB_ROW_7301" localSheetId="10" hidden="1">'LWVCEF-Stmt of Fin. Pos. by mth'!#REF!</definedName>
    <definedName name="QB_ROW_7301" localSheetId="5" hidden="1">'LWVC-Stmt of Fin. Postn. by Mth'!$A$82</definedName>
    <definedName name="QB_ROW_7330" localSheetId="5" hidden="1">'LWVC-Stmt of Fin. Postn. by Mth'!$D$8</definedName>
    <definedName name="QB_ROW_8011" localSheetId="10" hidden="1">'LWVCEF-Stmt of Fin. Pos. by mth'!$A$33</definedName>
    <definedName name="QB_ROW_8011" localSheetId="5" hidden="1">'LWVC-Stmt of Fin. Postn. by Mth'!$B$35</definedName>
    <definedName name="QB_ROW_8311" localSheetId="10" hidden="1">'LWVCEF-Stmt of Fin. Pos. by mth'!$A$84</definedName>
    <definedName name="QB_ROW_8311" localSheetId="5" hidden="1">'LWVC-Stmt of Fin. Postn. by Mth'!$B$68</definedName>
    <definedName name="QB_ROW_86321" localSheetId="11" hidden="1">'FASB117 '!#REF!</definedName>
    <definedName name="QB_ROW_86321" localSheetId="9" hidden="1">'LWVCEF-Stmt. of Act. by Month'!$C$29</definedName>
    <definedName name="QB_ROW_86321" localSheetId="2" hidden="1">'LWVC-Stmt of Act. by Class'!#REF!</definedName>
    <definedName name="QB_ROW_86321" localSheetId="4" hidden="1">'LWVC-Stmt of Activities by Mth'!$C$36</definedName>
    <definedName name="QB_ROW_87031" localSheetId="11" hidden="1">'FASB117 '!$D$35</definedName>
    <definedName name="QB_ROW_87031" localSheetId="9" hidden="1">'LWVCEF-Stmt. of Act. by Month'!$D$26</definedName>
    <definedName name="QB_ROW_87031" localSheetId="2" hidden="1">'LWVC-Stmt of Act. by Class'!#REF!</definedName>
    <definedName name="QB_ROW_87331" localSheetId="11" hidden="1">'FASB117 '!$D$37</definedName>
    <definedName name="QB_ROW_87331" localSheetId="9" hidden="1">'LWVCEF-Stmt. of Act. by Month'!$D$28</definedName>
    <definedName name="QB_ROW_87331" localSheetId="2" hidden="1">'LWVC-Stmt of Act. by Class'!#REF!</definedName>
    <definedName name="QB_ROW_87331" localSheetId="4" hidden="1">'LWVC-Stmt of Activities by Mth'!$D$35</definedName>
    <definedName name="QB_ROW_9021" localSheetId="10" hidden="1">'LWVCEF-Stmt of Fin. Pos. by mth'!$B$34</definedName>
    <definedName name="QB_ROW_9021" localSheetId="5" hidden="1">'LWVC-Stmt of Fin. Postn. by Mth'!$C$36</definedName>
    <definedName name="QB_ROW_90250" localSheetId="2" hidden="1">'LWVC-Stmt of Act. by Class'!#REF!</definedName>
    <definedName name="QB_ROW_90250" localSheetId="4" hidden="1">'LWVC-Stmt of Activities by Mth'!$F$20</definedName>
    <definedName name="QB_ROW_9321" localSheetId="10" hidden="1">'LWVCEF-Stmt of Fin. Pos. by mth'!$B$83</definedName>
    <definedName name="QB_ROW_9321" localSheetId="5" hidden="1">'LWVC-Stmt of Fin. Postn. by Mth'!$C$64</definedName>
    <definedName name="QBCANSUPPORTUPDATE" localSheetId="11">TRUE</definedName>
    <definedName name="QBCANSUPPORTUPDATE" localSheetId="10">TRUE</definedName>
    <definedName name="QBCANSUPPORTUPDATE" localSheetId="9">TRUE</definedName>
    <definedName name="QBCANSUPPORTUPDATE" localSheetId="2">TRUE</definedName>
    <definedName name="QBCANSUPPORTUPDATE" localSheetId="4">TRUE</definedName>
    <definedName name="QBCANSUPPORTUPDATE" localSheetId="5">TRUE</definedName>
    <definedName name="QBCOMPANYFILENAME" localSheetId="11">"Q:\LWVCEF 2004-2005.QBW"</definedName>
    <definedName name="QBCOMPANYFILENAME" localSheetId="10">"\\Gaston\lwvc\QuickBooks\LWVCEF 2004-2005.QBW"</definedName>
    <definedName name="QBCOMPANYFILENAME" localSheetId="9">"\\Gaston\lwvc\QuickBooks\LWVCEF 2004-2005.QBW"</definedName>
    <definedName name="QBCOMPANYFILENAME" localSheetId="2">"\\Gaston\lwvc\QuickBooks\LWVC2004-2005.QBW"</definedName>
    <definedName name="QBCOMPANYFILENAME" localSheetId="4">"\\Gaston\lwvc\QuickBooks\LWVC2004-2005.QBW"</definedName>
    <definedName name="QBCOMPANYFILENAME" localSheetId="5">"\\Gaston\lwvc\QuickBooks\LWVC2004-2005.QBW"</definedName>
    <definedName name="QBENDDATE" localSheetId="11">20150228</definedName>
    <definedName name="QBENDDATE" localSheetId="10">20181130</definedName>
    <definedName name="QBENDDATE" localSheetId="9">20190831</definedName>
    <definedName name="QBENDDATE" localSheetId="2">20180831</definedName>
    <definedName name="QBENDDATE" localSheetId="4">20190131</definedName>
    <definedName name="QBENDDATE" localSheetId="5">20181130</definedName>
    <definedName name="QBHEADERSONSCREEN" localSheetId="11">FALSE</definedName>
    <definedName name="QBHEADERSONSCREEN" localSheetId="10">FALSE</definedName>
    <definedName name="QBHEADERSONSCREEN" localSheetId="9">FALSE</definedName>
    <definedName name="QBHEADERSONSCREEN" localSheetId="2">FALSE</definedName>
    <definedName name="QBHEADERSONSCREEN" localSheetId="4">FALSE</definedName>
    <definedName name="QBHEADERSONSCREEN" localSheetId="5">FALSE</definedName>
    <definedName name="QBMETADATASIZE" localSheetId="11">5802</definedName>
    <definedName name="QBMETADATASIZE" localSheetId="10">5892</definedName>
    <definedName name="QBMETADATASIZE" localSheetId="9">5914</definedName>
    <definedName name="QBMETADATASIZE" localSheetId="2">5892</definedName>
    <definedName name="QBMETADATASIZE" localSheetId="4">5892</definedName>
    <definedName name="QBMETADATASIZE" localSheetId="5">5892</definedName>
    <definedName name="QBPRESERVECOLOR" localSheetId="11">TRUE</definedName>
    <definedName name="QBPRESERVECOLOR" localSheetId="10">TRUE</definedName>
    <definedName name="QBPRESERVECOLOR" localSheetId="9">TRUE</definedName>
    <definedName name="QBPRESERVECOLOR" localSheetId="2">TRUE</definedName>
    <definedName name="QBPRESERVECOLOR" localSheetId="4">TRUE</definedName>
    <definedName name="QBPRESERVECOLOR" localSheetId="5">TRUE</definedName>
    <definedName name="QBPRESERVEFONT" localSheetId="11">TRUE</definedName>
    <definedName name="QBPRESERVEFONT" localSheetId="10">TRUE</definedName>
    <definedName name="QBPRESERVEFONT" localSheetId="9">TRUE</definedName>
    <definedName name="QBPRESERVEFONT" localSheetId="2">TRUE</definedName>
    <definedName name="QBPRESERVEFONT" localSheetId="4">TRUE</definedName>
    <definedName name="QBPRESERVEFONT" localSheetId="5">TRUE</definedName>
    <definedName name="QBPRESERVEROWHEIGHT" localSheetId="11">TRUE</definedName>
    <definedName name="QBPRESERVEROWHEIGHT" localSheetId="10">TRUE</definedName>
    <definedName name="QBPRESERVEROWHEIGHT" localSheetId="9">TRUE</definedName>
    <definedName name="QBPRESERVEROWHEIGHT" localSheetId="2">TRUE</definedName>
    <definedName name="QBPRESERVEROWHEIGHT" localSheetId="4">TRUE</definedName>
    <definedName name="QBPRESERVEROWHEIGHT" localSheetId="5">TRUE</definedName>
    <definedName name="QBPRESERVESPACE" localSheetId="11">TRUE</definedName>
    <definedName name="QBPRESERVESPACE" localSheetId="10">TRUE</definedName>
    <definedName name="QBPRESERVESPACE" localSheetId="9">TRUE</definedName>
    <definedName name="QBPRESERVESPACE" localSheetId="2">TRUE</definedName>
    <definedName name="QBPRESERVESPACE" localSheetId="4">TRUE</definedName>
    <definedName name="QBPRESERVESPACE" localSheetId="5">TRUE</definedName>
    <definedName name="QBREPORTCOLAXIS" localSheetId="11">0</definedName>
    <definedName name="QBREPORTCOLAXIS" localSheetId="10">6</definedName>
    <definedName name="QBREPORTCOLAXIS" localSheetId="9">6</definedName>
    <definedName name="QBREPORTCOLAXIS" localSheetId="2">19</definedName>
    <definedName name="QBREPORTCOLAXIS" localSheetId="4">6</definedName>
    <definedName name="QBREPORTCOLAXIS" localSheetId="5">6</definedName>
    <definedName name="QBREPORTCOMPANYID" localSheetId="11">"ed63fede42314b36bb2c132d8ee034e7"</definedName>
    <definedName name="QBREPORTCOMPANYID" localSheetId="10">"ed63fede42314b36bb2c132d8ee034e7"</definedName>
    <definedName name="QBREPORTCOMPANYID" localSheetId="9">"ed63fede42314b36bb2c132d8ee034e7"</definedName>
    <definedName name="QBREPORTCOMPANYID" localSheetId="2">"d1bc5fb40bb64c32989208a640179ef4"</definedName>
    <definedName name="QBREPORTCOMPANYID" localSheetId="4">"d1bc5fb40bb64c32989208a640179ef4"</definedName>
    <definedName name="QBREPORTCOMPANYID" localSheetId="5">"d1bc5fb40bb64c32989208a640179ef4"</definedName>
    <definedName name="QBREPORTCOMPARECOL_ANNUALBUDGET" localSheetId="11">FALSE</definedName>
    <definedName name="QBREPORTCOMPARECOL_ANNUALBUDGET" localSheetId="10">FALSE</definedName>
    <definedName name="QBREPORTCOMPARECOL_ANNUALBUDGET" localSheetId="9">FALSE</definedName>
    <definedName name="QBREPORTCOMPARECOL_ANNUALBUDGET" localSheetId="2">FALSE</definedName>
    <definedName name="QBREPORTCOMPARECOL_ANNUALBUDGET" localSheetId="4">FALSE</definedName>
    <definedName name="QBREPORTCOMPARECOL_ANNUALBUDGET" localSheetId="5">FALSE</definedName>
    <definedName name="QBREPORTCOMPARECOL_AVGCOGS" localSheetId="11">FALSE</definedName>
    <definedName name="QBREPORTCOMPARECOL_AVGCOGS" localSheetId="10">FALSE</definedName>
    <definedName name="QBREPORTCOMPARECOL_AVGCOGS" localSheetId="9">FALSE</definedName>
    <definedName name="QBREPORTCOMPARECOL_AVGCOGS" localSheetId="2">FALSE</definedName>
    <definedName name="QBREPORTCOMPARECOL_AVGCOGS" localSheetId="4">FALSE</definedName>
    <definedName name="QBREPORTCOMPARECOL_AVGCOGS" localSheetId="5">FALSE</definedName>
    <definedName name="QBREPORTCOMPARECOL_AVGPRICE" localSheetId="11">FALSE</definedName>
    <definedName name="QBREPORTCOMPARECOL_AVGPRICE" localSheetId="10">FALSE</definedName>
    <definedName name="QBREPORTCOMPARECOL_AVGPRICE" localSheetId="9">FALSE</definedName>
    <definedName name="QBREPORTCOMPARECOL_AVGPRICE" localSheetId="2">FALSE</definedName>
    <definedName name="QBREPORTCOMPARECOL_AVGPRICE" localSheetId="4">FALSE</definedName>
    <definedName name="QBREPORTCOMPARECOL_AVGPRICE" localSheetId="5">FALSE</definedName>
    <definedName name="QBREPORTCOMPARECOL_BUDDIFF" localSheetId="11">FALSE</definedName>
    <definedName name="QBREPORTCOMPARECOL_BUDDIFF" localSheetId="10">FALSE</definedName>
    <definedName name="QBREPORTCOMPARECOL_BUDDIFF" localSheetId="9">FALSE</definedName>
    <definedName name="QBREPORTCOMPARECOL_BUDDIFF" localSheetId="2">FALSE</definedName>
    <definedName name="QBREPORTCOMPARECOL_BUDDIFF" localSheetId="4">FALSE</definedName>
    <definedName name="QBREPORTCOMPARECOL_BUDDIFF" localSheetId="5">FALSE</definedName>
    <definedName name="QBREPORTCOMPARECOL_BUDGET" localSheetId="11">FALSE</definedName>
    <definedName name="QBREPORTCOMPARECOL_BUDGET" localSheetId="10">FALSE</definedName>
    <definedName name="QBREPORTCOMPARECOL_BUDGET" localSheetId="9">FALSE</definedName>
    <definedName name="QBREPORTCOMPARECOL_BUDGET" localSheetId="2">TRUE</definedName>
    <definedName name="QBREPORTCOMPARECOL_BUDGET" localSheetId="4">FALSE</definedName>
    <definedName name="QBREPORTCOMPARECOL_BUDGET" localSheetId="5">FALSE</definedName>
    <definedName name="QBREPORTCOMPARECOL_BUDPCT" localSheetId="11">FALSE</definedName>
    <definedName name="QBREPORTCOMPARECOL_BUDPCT" localSheetId="10">FALSE</definedName>
    <definedName name="QBREPORTCOMPARECOL_BUDPCT" localSheetId="9">FALSE</definedName>
    <definedName name="QBREPORTCOMPARECOL_BUDPCT" localSheetId="2">FALSE</definedName>
    <definedName name="QBREPORTCOMPARECOL_BUDPCT" localSheetId="4">FALSE</definedName>
    <definedName name="QBREPORTCOMPARECOL_BUDPCT" localSheetId="5">FALSE</definedName>
    <definedName name="QBREPORTCOMPARECOL_COGS" localSheetId="11">FALSE</definedName>
    <definedName name="QBREPORTCOMPARECOL_COGS" localSheetId="10">FALSE</definedName>
    <definedName name="QBREPORTCOMPARECOL_COGS" localSheetId="9">FALSE</definedName>
    <definedName name="QBREPORTCOMPARECOL_COGS" localSheetId="2">FALSE</definedName>
    <definedName name="QBREPORTCOMPARECOL_COGS" localSheetId="4">FALSE</definedName>
    <definedName name="QBREPORTCOMPARECOL_COGS" localSheetId="5">FALSE</definedName>
    <definedName name="QBREPORTCOMPARECOL_EXCLUDEAMOUNT" localSheetId="11">FALSE</definedName>
    <definedName name="QBREPORTCOMPARECOL_EXCLUDEAMOUNT" localSheetId="10">FALSE</definedName>
    <definedName name="QBREPORTCOMPARECOL_EXCLUDEAMOUNT" localSheetId="9">FALSE</definedName>
    <definedName name="QBREPORTCOMPARECOL_EXCLUDEAMOUNT" localSheetId="2">FALSE</definedName>
    <definedName name="QBREPORTCOMPARECOL_EXCLUDEAMOUNT" localSheetId="4">FALSE</definedName>
    <definedName name="QBREPORTCOMPARECOL_EXCLUDEAMOUNT" localSheetId="5">FALSE</definedName>
    <definedName name="QBREPORTCOMPARECOL_EXCLUDECURPERIOD" localSheetId="11">FALSE</definedName>
    <definedName name="QBREPORTCOMPARECOL_EXCLUDECURPERIOD" localSheetId="10">FALSE</definedName>
    <definedName name="QBREPORTCOMPARECOL_EXCLUDECURPERIOD" localSheetId="9">FALSE</definedName>
    <definedName name="QBREPORTCOMPARECOL_EXCLUDECURPERIOD" localSheetId="2">FALSE</definedName>
    <definedName name="QBREPORTCOMPARECOL_EXCLUDECURPERIOD" localSheetId="4">FALSE</definedName>
    <definedName name="QBREPORTCOMPARECOL_EXCLUDECURPERIOD" localSheetId="5">FALSE</definedName>
    <definedName name="QBREPORTCOMPARECOL_FORECAST" localSheetId="11">FALSE</definedName>
    <definedName name="QBREPORTCOMPARECOL_FORECAST" localSheetId="10">FALSE</definedName>
    <definedName name="QBREPORTCOMPARECOL_FORECAST" localSheetId="9">FALSE</definedName>
    <definedName name="QBREPORTCOMPARECOL_FORECAST" localSheetId="2">FALSE</definedName>
    <definedName name="QBREPORTCOMPARECOL_FORECAST" localSheetId="4">FALSE</definedName>
    <definedName name="QBREPORTCOMPARECOL_FORECAST" localSheetId="5">FALSE</definedName>
    <definedName name="QBREPORTCOMPARECOL_GROSSMARGIN" localSheetId="11">FALSE</definedName>
    <definedName name="QBREPORTCOMPARECOL_GROSSMARGIN" localSheetId="10">FALSE</definedName>
    <definedName name="QBREPORTCOMPARECOL_GROSSMARGIN" localSheetId="9">FALSE</definedName>
    <definedName name="QBREPORTCOMPARECOL_GROSSMARGIN" localSheetId="2">FALSE</definedName>
    <definedName name="QBREPORTCOMPARECOL_GROSSMARGIN" localSheetId="4">FALSE</definedName>
    <definedName name="QBREPORTCOMPARECOL_GROSSMARGIN" localSheetId="5">FALSE</definedName>
    <definedName name="QBREPORTCOMPARECOL_GROSSMARGINPCT" localSheetId="11">FALSE</definedName>
    <definedName name="QBREPORTCOMPARECOL_GROSSMARGINPCT" localSheetId="10">FALSE</definedName>
    <definedName name="QBREPORTCOMPARECOL_GROSSMARGINPCT" localSheetId="9">FALSE</definedName>
    <definedName name="QBREPORTCOMPARECOL_GROSSMARGINPCT" localSheetId="2">FALSE</definedName>
    <definedName name="QBREPORTCOMPARECOL_GROSSMARGINPCT" localSheetId="4">FALSE</definedName>
    <definedName name="QBREPORTCOMPARECOL_GROSSMARGINPCT" localSheetId="5">FALSE</definedName>
    <definedName name="QBREPORTCOMPARECOL_HOURS" localSheetId="11">FALSE</definedName>
    <definedName name="QBREPORTCOMPARECOL_HOURS" localSheetId="10">FALSE</definedName>
    <definedName name="QBREPORTCOMPARECOL_HOURS" localSheetId="9">FALSE</definedName>
    <definedName name="QBREPORTCOMPARECOL_HOURS" localSheetId="2">FALSE</definedName>
    <definedName name="QBREPORTCOMPARECOL_HOURS" localSheetId="4">FALSE</definedName>
    <definedName name="QBREPORTCOMPARECOL_HOURS" localSheetId="5">FALSE</definedName>
    <definedName name="QBREPORTCOMPARECOL_PCTCOL" localSheetId="11">FALSE</definedName>
    <definedName name="QBREPORTCOMPARECOL_PCTCOL" localSheetId="10">FALSE</definedName>
    <definedName name="QBREPORTCOMPARECOL_PCTCOL" localSheetId="9">FALSE</definedName>
    <definedName name="QBREPORTCOMPARECOL_PCTCOL" localSheetId="2">FALSE</definedName>
    <definedName name="QBREPORTCOMPARECOL_PCTCOL" localSheetId="4">FALSE</definedName>
    <definedName name="QBREPORTCOMPARECOL_PCTCOL" localSheetId="5">FALSE</definedName>
    <definedName name="QBREPORTCOMPARECOL_PCTEXPENSE" localSheetId="11">FALSE</definedName>
    <definedName name="QBREPORTCOMPARECOL_PCTEXPENSE" localSheetId="10">FALSE</definedName>
    <definedName name="QBREPORTCOMPARECOL_PCTEXPENSE" localSheetId="9">FALSE</definedName>
    <definedName name="QBREPORTCOMPARECOL_PCTEXPENSE" localSheetId="2">FALSE</definedName>
    <definedName name="QBREPORTCOMPARECOL_PCTEXPENSE" localSheetId="4">FALSE</definedName>
    <definedName name="QBREPORTCOMPARECOL_PCTEXPENSE" localSheetId="5">FALSE</definedName>
    <definedName name="QBREPORTCOMPARECOL_PCTINCOME" localSheetId="11">FALSE</definedName>
    <definedName name="QBREPORTCOMPARECOL_PCTINCOME" localSheetId="10">FALSE</definedName>
    <definedName name="QBREPORTCOMPARECOL_PCTINCOME" localSheetId="9">FALSE</definedName>
    <definedName name="QBREPORTCOMPARECOL_PCTINCOME" localSheetId="2">FALSE</definedName>
    <definedName name="QBREPORTCOMPARECOL_PCTINCOME" localSheetId="4">FALSE</definedName>
    <definedName name="QBREPORTCOMPARECOL_PCTINCOME" localSheetId="5">FALSE</definedName>
    <definedName name="QBREPORTCOMPARECOL_PCTOFSALES" localSheetId="11">FALSE</definedName>
    <definedName name="QBREPORTCOMPARECOL_PCTOFSALES" localSheetId="10">FALSE</definedName>
    <definedName name="QBREPORTCOMPARECOL_PCTOFSALES" localSheetId="9">FALSE</definedName>
    <definedName name="QBREPORTCOMPARECOL_PCTOFSALES" localSheetId="2">FALSE</definedName>
    <definedName name="QBREPORTCOMPARECOL_PCTOFSALES" localSheetId="4">FALSE</definedName>
    <definedName name="QBREPORTCOMPARECOL_PCTOFSALES" localSheetId="5">FALSE</definedName>
    <definedName name="QBREPORTCOMPARECOL_PCTROW" localSheetId="11">FALSE</definedName>
    <definedName name="QBREPORTCOMPARECOL_PCTROW" localSheetId="10">FALSE</definedName>
    <definedName name="QBREPORTCOMPARECOL_PCTROW" localSheetId="9">FALSE</definedName>
    <definedName name="QBREPORTCOMPARECOL_PCTROW" localSheetId="2">FALSE</definedName>
    <definedName name="QBREPORTCOMPARECOL_PCTROW" localSheetId="4">FALSE</definedName>
    <definedName name="QBREPORTCOMPARECOL_PCTROW" localSheetId="5">FALSE</definedName>
    <definedName name="QBREPORTCOMPARECOL_PPDIFF" localSheetId="11">FALSE</definedName>
    <definedName name="QBREPORTCOMPARECOL_PPDIFF" localSheetId="10">FALSE</definedName>
    <definedName name="QBREPORTCOMPARECOL_PPDIFF" localSheetId="9">FALSE</definedName>
    <definedName name="QBREPORTCOMPARECOL_PPDIFF" localSheetId="2">FALSE</definedName>
    <definedName name="QBREPORTCOMPARECOL_PPDIFF" localSheetId="4">FALSE</definedName>
    <definedName name="QBREPORTCOMPARECOL_PPDIFF" localSheetId="5">FALSE</definedName>
    <definedName name="QBREPORTCOMPARECOL_PPPCT" localSheetId="11">FALSE</definedName>
    <definedName name="QBREPORTCOMPARECOL_PPPCT" localSheetId="10">FALSE</definedName>
    <definedName name="QBREPORTCOMPARECOL_PPPCT" localSheetId="9">FALSE</definedName>
    <definedName name="QBREPORTCOMPARECOL_PPPCT" localSheetId="2">FALSE</definedName>
    <definedName name="QBREPORTCOMPARECOL_PPPCT" localSheetId="4">FALSE</definedName>
    <definedName name="QBREPORTCOMPARECOL_PPPCT" localSheetId="5">FALSE</definedName>
    <definedName name="QBREPORTCOMPARECOL_PREVPERIOD" localSheetId="11">FALSE</definedName>
    <definedName name="QBREPORTCOMPARECOL_PREVPERIOD" localSheetId="10">FALSE</definedName>
    <definedName name="QBREPORTCOMPARECOL_PREVPERIOD" localSheetId="9">FALSE</definedName>
    <definedName name="QBREPORTCOMPARECOL_PREVPERIOD" localSheetId="2">FALSE</definedName>
    <definedName name="QBREPORTCOMPARECOL_PREVPERIOD" localSheetId="4">FALSE</definedName>
    <definedName name="QBREPORTCOMPARECOL_PREVPERIOD" localSheetId="5">FALSE</definedName>
    <definedName name="QBREPORTCOMPARECOL_PREVYEAR" localSheetId="11">FALSE</definedName>
    <definedName name="QBREPORTCOMPARECOL_PREVYEAR" localSheetId="10">FALSE</definedName>
    <definedName name="QBREPORTCOMPARECOL_PREVYEAR" localSheetId="9">FALSE</definedName>
    <definedName name="QBREPORTCOMPARECOL_PREVYEAR" localSheetId="2">FALSE</definedName>
    <definedName name="QBREPORTCOMPARECOL_PREVYEAR" localSheetId="4">FALSE</definedName>
    <definedName name="QBREPORTCOMPARECOL_PREVYEAR" localSheetId="5">FALSE</definedName>
    <definedName name="QBREPORTCOMPARECOL_PYDIFF" localSheetId="11">FALSE</definedName>
    <definedName name="QBREPORTCOMPARECOL_PYDIFF" localSheetId="10">FALSE</definedName>
    <definedName name="QBREPORTCOMPARECOL_PYDIFF" localSheetId="9">FALSE</definedName>
    <definedName name="QBREPORTCOMPARECOL_PYDIFF" localSheetId="2">FALSE</definedName>
    <definedName name="QBREPORTCOMPARECOL_PYDIFF" localSheetId="4">FALSE</definedName>
    <definedName name="QBREPORTCOMPARECOL_PYDIFF" localSheetId="5">FALSE</definedName>
    <definedName name="QBREPORTCOMPARECOL_PYPCT" localSheetId="11">FALSE</definedName>
    <definedName name="QBREPORTCOMPARECOL_PYPCT" localSheetId="10">FALSE</definedName>
    <definedName name="QBREPORTCOMPARECOL_PYPCT" localSheetId="9">FALSE</definedName>
    <definedName name="QBREPORTCOMPARECOL_PYPCT" localSheetId="2">FALSE</definedName>
    <definedName name="QBREPORTCOMPARECOL_PYPCT" localSheetId="4">FALSE</definedName>
    <definedName name="QBREPORTCOMPARECOL_PYPCT" localSheetId="5">FALSE</definedName>
    <definedName name="QBREPORTCOMPARECOL_QTY" localSheetId="11">FALSE</definedName>
    <definedName name="QBREPORTCOMPARECOL_QTY" localSheetId="10">FALSE</definedName>
    <definedName name="QBREPORTCOMPARECOL_QTY" localSheetId="9">FALSE</definedName>
    <definedName name="QBREPORTCOMPARECOL_QTY" localSheetId="2">FALSE</definedName>
    <definedName name="QBREPORTCOMPARECOL_QTY" localSheetId="4">FALSE</definedName>
    <definedName name="QBREPORTCOMPARECOL_QTY" localSheetId="5">FALSE</definedName>
    <definedName name="QBREPORTCOMPARECOL_RATE" localSheetId="11">FALSE</definedName>
    <definedName name="QBREPORTCOMPARECOL_RATE" localSheetId="10">FALSE</definedName>
    <definedName name="QBREPORTCOMPARECOL_RATE" localSheetId="9">FALSE</definedName>
    <definedName name="QBREPORTCOMPARECOL_RATE" localSheetId="2">FALSE</definedName>
    <definedName name="QBREPORTCOMPARECOL_RATE" localSheetId="4">FALSE</definedName>
    <definedName name="QBREPORTCOMPARECOL_RATE" localSheetId="5">FALSE</definedName>
    <definedName name="QBREPORTCOMPARECOL_TRIPBILLEDMILES" localSheetId="11">FALSE</definedName>
    <definedName name="QBREPORTCOMPARECOL_TRIPBILLEDMILES" localSheetId="10">FALSE</definedName>
    <definedName name="QBREPORTCOMPARECOL_TRIPBILLEDMILES" localSheetId="9">FALSE</definedName>
    <definedName name="QBREPORTCOMPARECOL_TRIPBILLEDMILES" localSheetId="2">FALSE</definedName>
    <definedName name="QBREPORTCOMPARECOL_TRIPBILLEDMILES" localSheetId="4">FALSE</definedName>
    <definedName name="QBREPORTCOMPARECOL_TRIPBILLEDMILES" localSheetId="5">FALSE</definedName>
    <definedName name="QBREPORTCOMPARECOL_TRIPBILLINGAMOUNT" localSheetId="11">FALSE</definedName>
    <definedName name="QBREPORTCOMPARECOL_TRIPBILLINGAMOUNT" localSheetId="10">FALSE</definedName>
    <definedName name="QBREPORTCOMPARECOL_TRIPBILLINGAMOUNT" localSheetId="9">FALSE</definedName>
    <definedName name="QBREPORTCOMPARECOL_TRIPBILLINGAMOUNT" localSheetId="2">FALSE</definedName>
    <definedName name="QBREPORTCOMPARECOL_TRIPBILLINGAMOUNT" localSheetId="4">FALSE</definedName>
    <definedName name="QBREPORTCOMPARECOL_TRIPBILLINGAMOUNT" localSheetId="5">FALSE</definedName>
    <definedName name="QBREPORTCOMPARECOL_TRIPMILES" localSheetId="11">FALSE</definedName>
    <definedName name="QBREPORTCOMPARECOL_TRIPMILES" localSheetId="10">FALSE</definedName>
    <definedName name="QBREPORTCOMPARECOL_TRIPMILES" localSheetId="9">FALSE</definedName>
    <definedName name="QBREPORTCOMPARECOL_TRIPMILES" localSheetId="2">FALSE</definedName>
    <definedName name="QBREPORTCOMPARECOL_TRIPMILES" localSheetId="4">FALSE</definedName>
    <definedName name="QBREPORTCOMPARECOL_TRIPMILES" localSheetId="5">FALSE</definedName>
    <definedName name="QBREPORTCOMPARECOL_TRIPNOTBILLABLEMILES" localSheetId="11">FALSE</definedName>
    <definedName name="QBREPORTCOMPARECOL_TRIPNOTBILLABLEMILES" localSheetId="10">FALSE</definedName>
    <definedName name="QBREPORTCOMPARECOL_TRIPNOTBILLABLEMILES" localSheetId="9">FALSE</definedName>
    <definedName name="QBREPORTCOMPARECOL_TRIPNOTBILLABLEMILES" localSheetId="2">FALSE</definedName>
    <definedName name="QBREPORTCOMPARECOL_TRIPNOTBILLABLEMILES" localSheetId="4">FALSE</definedName>
    <definedName name="QBREPORTCOMPARECOL_TRIPNOTBILLABLEMILES" localSheetId="5">FALSE</definedName>
    <definedName name="QBREPORTCOMPARECOL_TRIPTAXDEDUCTIBLEAMOUNT" localSheetId="11">FALSE</definedName>
    <definedName name="QBREPORTCOMPARECOL_TRIPTAXDEDUCTIBLEAMOUNT" localSheetId="10">FALSE</definedName>
    <definedName name="QBREPORTCOMPARECOL_TRIPTAXDEDUCTIBLEAMOUNT" localSheetId="9">FALSE</definedName>
    <definedName name="QBREPORTCOMPARECOL_TRIPTAXDEDUCTIBLEAMOUNT" localSheetId="2">FALSE</definedName>
    <definedName name="QBREPORTCOMPARECOL_TRIPTAXDEDUCTIBLEAMOUNT" localSheetId="4">FALSE</definedName>
    <definedName name="QBREPORTCOMPARECOL_TRIPTAXDEDUCTIBLEAMOUNT" localSheetId="5">FALSE</definedName>
    <definedName name="QBREPORTCOMPARECOL_TRIPUNBILLEDMILES" localSheetId="11">FALSE</definedName>
    <definedName name="QBREPORTCOMPARECOL_TRIPUNBILLEDMILES" localSheetId="10">FALSE</definedName>
    <definedName name="QBREPORTCOMPARECOL_TRIPUNBILLEDMILES" localSheetId="9">FALSE</definedName>
    <definedName name="QBREPORTCOMPARECOL_TRIPUNBILLEDMILES" localSheetId="2">FALSE</definedName>
    <definedName name="QBREPORTCOMPARECOL_TRIPUNBILLEDMILES" localSheetId="4">FALSE</definedName>
    <definedName name="QBREPORTCOMPARECOL_TRIPUNBILLEDMILES" localSheetId="5">FALSE</definedName>
    <definedName name="QBREPORTCOMPARECOL_YTD" localSheetId="11">FALSE</definedName>
    <definedName name="QBREPORTCOMPARECOL_YTD" localSheetId="10">FALSE</definedName>
    <definedName name="QBREPORTCOMPARECOL_YTD" localSheetId="9">FALSE</definedName>
    <definedName name="QBREPORTCOMPARECOL_YTD" localSheetId="2">FALSE</definedName>
    <definedName name="QBREPORTCOMPARECOL_YTD" localSheetId="4">FALSE</definedName>
    <definedName name="QBREPORTCOMPARECOL_YTD" localSheetId="5">FALSE</definedName>
    <definedName name="QBREPORTCOMPARECOL_YTDBUDGET" localSheetId="11">FALSE</definedName>
    <definedName name="QBREPORTCOMPARECOL_YTDBUDGET" localSheetId="10">FALSE</definedName>
    <definedName name="QBREPORTCOMPARECOL_YTDBUDGET" localSheetId="9">FALSE</definedName>
    <definedName name="QBREPORTCOMPARECOL_YTDBUDGET" localSheetId="2">FALSE</definedName>
    <definedName name="QBREPORTCOMPARECOL_YTDBUDGET" localSheetId="4">FALSE</definedName>
    <definedName name="QBREPORTCOMPARECOL_YTDBUDGET" localSheetId="5">FALSE</definedName>
    <definedName name="QBREPORTCOMPARECOL_YTDPCT" localSheetId="11">FALSE</definedName>
    <definedName name="QBREPORTCOMPARECOL_YTDPCT" localSheetId="10">FALSE</definedName>
    <definedName name="QBREPORTCOMPARECOL_YTDPCT" localSheetId="9">FALSE</definedName>
    <definedName name="QBREPORTCOMPARECOL_YTDPCT" localSheetId="2">FALSE</definedName>
    <definedName name="QBREPORTCOMPARECOL_YTDPCT" localSheetId="4">FALSE</definedName>
    <definedName name="QBREPORTCOMPARECOL_YTDPCT" localSheetId="5">FALSE</definedName>
    <definedName name="QBREPORTROWAXIS" localSheetId="11">11</definedName>
    <definedName name="QBREPORTROWAXIS" localSheetId="10">9</definedName>
    <definedName name="QBREPORTROWAXIS" localSheetId="9">11</definedName>
    <definedName name="QBREPORTROWAXIS" localSheetId="2">11</definedName>
    <definedName name="QBREPORTROWAXIS" localSheetId="4">11</definedName>
    <definedName name="QBREPORTROWAXIS" localSheetId="5">9</definedName>
    <definedName name="QBREPORTSUBCOLAXIS" localSheetId="11">0</definedName>
    <definedName name="QBREPORTSUBCOLAXIS" localSheetId="10">0</definedName>
    <definedName name="QBREPORTSUBCOLAXIS" localSheetId="9">0</definedName>
    <definedName name="QBREPORTSUBCOLAXIS" localSheetId="2">24</definedName>
    <definedName name="QBREPORTSUBCOLAXIS" localSheetId="4">0</definedName>
    <definedName name="QBREPORTSUBCOLAXIS" localSheetId="5">0</definedName>
    <definedName name="QBREPORTTYPE" localSheetId="11">0</definedName>
    <definedName name="QBREPORTTYPE" localSheetId="10">5</definedName>
    <definedName name="QBREPORTTYPE" localSheetId="9">0</definedName>
    <definedName name="QBREPORTTYPE" localSheetId="2">288</definedName>
    <definedName name="QBREPORTTYPE" localSheetId="4">0</definedName>
    <definedName name="QBREPORTTYPE" localSheetId="5">5</definedName>
    <definedName name="QBROWHEADERS" localSheetId="11">7</definedName>
    <definedName name="QBROWHEADERS" localSheetId="10">7</definedName>
    <definedName name="QBROWHEADERS" localSheetId="9">7</definedName>
    <definedName name="QBROWHEADERS" localSheetId="2">7</definedName>
    <definedName name="QBROWHEADERS" localSheetId="4">7</definedName>
    <definedName name="QBROWHEADERS" localSheetId="5">7</definedName>
    <definedName name="QBSTARTDATE" localSheetId="11">20140701</definedName>
    <definedName name="QBSTARTDATE" localSheetId="10">20171231</definedName>
    <definedName name="QBSTARTDATE" localSheetId="9">20180901</definedName>
    <definedName name="QBSTARTDATE" localSheetId="2">20180701</definedName>
    <definedName name="QBSTARTDATE" localSheetId="4">20180201</definedName>
    <definedName name="QBSTARTDATE" localSheetId="5">20171231</definedName>
  </definedNames>
  <calcPr calcId="145621"/>
</workbook>
</file>

<file path=xl/calcChain.xml><?xml version="1.0" encoding="utf-8"?>
<calcChain xmlns="http://schemas.openxmlformats.org/spreadsheetml/2006/main">
  <c r="AN44" i="38" l="1"/>
  <c r="T44" i="38"/>
  <c r="L44" i="38"/>
  <c r="H44" i="38"/>
  <c r="BX43" i="38"/>
  <c r="AN43" i="38"/>
  <c r="T43" i="38"/>
  <c r="L43" i="38"/>
  <c r="H43" i="38"/>
  <c r="BH42" i="38"/>
  <c r="AN42" i="38"/>
  <c r="T42" i="38"/>
  <c r="L42" i="38"/>
  <c r="H42" i="38"/>
  <c r="AN41" i="38"/>
  <c r="AN45" i="38" s="1"/>
  <c r="T41" i="38"/>
  <c r="T45" i="38" s="1"/>
  <c r="L41" i="38"/>
  <c r="L45" i="38" s="1"/>
  <c r="H41" i="38"/>
  <c r="H45" i="38" s="1"/>
  <c r="CJ36" i="38"/>
  <c r="CJ37" i="38" s="1"/>
  <c r="AF36" i="38"/>
  <c r="AF37" i="38" s="1"/>
  <c r="X36" i="38"/>
  <c r="H36" i="38"/>
  <c r="H37" i="38" s="1"/>
  <c r="CV35" i="38"/>
  <c r="CT35" i="38"/>
  <c r="CN35" i="38"/>
  <c r="CN36" i="38" s="1"/>
  <c r="CN37" i="38" s="1"/>
  <c r="CL35" i="38"/>
  <c r="CJ35" i="38"/>
  <c r="CH35" i="38"/>
  <c r="CP35" i="38" s="1"/>
  <c r="CF35" i="38"/>
  <c r="CF36" i="38" s="1"/>
  <c r="CD35" i="38"/>
  <c r="BT35" i="38"/>
  <c r="BR35" i="38"/>
  <c r="BP35" i="38"/>
  <c r="BN35" i="38"/>
  <c r="BL35" i="38"/>
  <c r="BX35" i="38" s="1"/>
  <c r="BJ35" i="38"/>
  <c r="BV35" i="38" s="1"/>
  <c r="BB35" i="38"/>
  <c r="AZ35" i="38"/>
  <c r="AX35" i="38"/>
  <c r="AV35" i="38"/>
  <c r="BH35" i="38" s="1"/>
  <c r="AT35" i="38"/>
  <c r="BF35" i="38" s="1"/>
  <c r="AR35" i="38"/>
  <c r="AP35" i="38"/>
  <c r="AN35" i="38"/>
  <c r="AL35" i="38"/>
  <c r="AJ35" i="38"/>
  <c r="AF35" i="38"/>
  <c r="AD35" i="38"/>
  <c r="AB35" i="38"/>
  <c r="AB36" i="38" s="1"/>
  <c r="AB37" i="38" s="1"/>
  <c r="Z35" i="38"/>
  <c r="X35" i="38"/>
  <c r="V35" i="38"/>
  <c r="AH35" i="38" s="1"/>
  <c r="BZ35" i="38" s="1"/>
  <c r="T35" i="38"/>
  <c r="R35" i="38"/>
  <c r="L35" i="38"/>
  <c r="J35" i="38"/>
  <c r="H35" i="38"/>
  <c r="F35" i="38"/>
  <c r="N35" i="38" s="1"/>
  <c r="DB34" i="38"/>
  <c r="CZ34" i="38"/>
  <c r="CP34" i="38"/>
  <c r="BZ34" i="38"/>
  <c r="BV34" i="38"/>
  <c r="BF34" i="38"/>
  <c r="AH34" i="38"/>
  <c r="N34" i="38"/>
  <c r="CX34" i="38" s="1"/>
  <c r="DB33" i="38"/>
  <c r="CP33" i="38"/>
  <c r="BV33" i="38"/>
  <c r="BH33" i="38"/>
  <c r="CB33" i="38" s="1"/>
  <c r="CZ33" i="38" s="1"/>
  <c r="BF33" i="38"/>
  <c r="AH33" i="38"/>
  <c r="BZ33" i="38" s="1"/>
  <c r="N33" i="38"/>
  <c r="DB32" i="38"/>
  <c r="CR32" i="38"/>
  <c r="CP32" i="38"/>
  <c r="BX32" i="38"/>
  <c r="BV32" i="38"/>
  <c r="BH32" i="38"/>
  <c r="BF32" i="38"/>
  <c r="AJ32" i="38"/>
  <c r="CB32" i="38" s="1"/>
  <c r="AH32" i="38"/>
  <c r="BZ32" i="38" s="1"/>
  <c r="P32" i="38"/>
  <c r="CZ32" i="38" s="1"/>
  <c r="N32" i="38"/>
  <c r="CR31" i="38"/>
  <c r="CP31" i="38"/>
  <c r="BX31" i="38"/>
  <c r="BV31" i="38"/>
  <c r="BH31" i="38"/>
  <c r="CB31" i="38" s="1"/>
  <c r="BF31" i="38"/>
  <c r="AJ31" i="38"/>
  <c r="DB31" i="38" s="1"/>
  <c r="AH31" i="38"/>
  <c r="BZ31" i="38" s="1"/>
  <c r="P31" i="38"/>
  <c r="CZ31" i="38" s="1"/>
  <c r="N31" i="38"/>
  <c r="DB30" i="38"/>
  <c r="CZ30" i="38"/>
  <c r="CP30" i="38"/>
  <c r="BV30" i="38"/>
  <c r="BF30" i="38"/>
  <c r="AH30" i="38"/>
  <c r="BZ30" i="38" s="1"/>
  <c r="CX30" i="38" s="1"/>
  <c r="P30" i="38"/>
  <c r="N30" i="38"/>
  <c r="DB29" i="38"/>
  <c r="CP29" i="38"/>
  <c r="BX29" i="38"/>
  <c r="BV29" i="38"/>
  <c r="BH29" i="38"/>
  <c r="CB29" i="38" s="1"/>
  <c r="BF29" i="38"/>
  <c r="AJ29" i="38"/>
  <c r="AH29" i="38"/>
  <c r="BZ29" i="38" s="1"/>
  <c r="P29" i="38"/>
  <c r="N29" i="38"/>
  <c r="CR28" i="38"/>
  <c r="CP28" i="38"/>
  <c r="BX28" i="38"/>
  <c r="BV28" i="38"/>
  <c r="BH28" i="38"/>
  <c r="CB28" i="38" s="1"/>
  <c r="BF28" i="38"/>
  <c r="BZ28" i="38" s="1"/>
  <c r="AJ28" i="38"/>
  <c r="DB28" i="38" s="1"/>
  <c r="AH28" i="38"/>
  <c r="P28" i="38"/>
  <c r="N28" i="38"/>
  <c r="CX28" i="38" s="1"/>
  <c r="CR27" i="38"/>
  <c r="CP27" i="38"/>
  <c r="BX27" i="38"/>
  <c r="BX42" i="38" s="1"/>
  <c r="BV27" i="38"/>
  <c r="BH27" i="38"/>
  <c r="BF27" i="38"/>
  <c r="BZ27" i="38" s="1"/>
  <c r="AJ27" i="38"/>
  <c r="DB27" i="38" s="1"/>
  <c r="DB42" i="38" s="1"/>
  <c r="AH27" i="38"/>
  <c r="P27" i="38"/>
  <c r="N27" i="38"/>
  <c r="CX27" i="38" s="1"/>
  <c r="CR26" i="38"/>
  <c r="CP26" i="38"/>
  <c r="BX26" i="38"/>
  <c r="BV26" i="38"/>
  <c r="BH26" i="38"/>
  <c r="BF26" i="38"/>
  <c r="AJ26" i="38"/>
  <c r="AH26" i="38"/>
  <c r="BZ26" i="38" s="1"/>
  <c r="P26" i="38"/>
  <c r="N26" i="38"/>
  <c r="CX26" i="38" s="1"/>
  <c r="DB25" i="38"/>
  <c r="CR25" i="38"/>
  <c r="CP25" i="38"/>
  <c r="BX25" i="38"/>
  <c r="BV25" i="38"/>
  <c r="BH25" i="38"/>
  <c r="BF25" i="38"/>
  <c r="AJ25" i="38"/>
  <c r="CB25" i="38" s="1"/>
  <c r="AH25" i="38"/>
  <c r="BZ25" i="38" s="1"/>
  <c r="P25" i="38"/>
  <c r="N25" i="38"/>
  <c r="DB24" i="38"/>
  <c r="CZ24" i="38"/>
  <c r="CR24" i="38"/>
  <c r="CP24" i="38"/>
  <c r="CB24" i="38"/>
  <c r="BX24" i="38"/>
  <c r="BV24" i="38"/>
  <c r="BH24" i="38"/>
  <c r="BF24" i="38"/>
  <c r="AJ24" i="38"/>
  <c r="AH24" i="38"/>
  <c r="BZ24" i="38" s="1"/>
  <c r="P24" i="38"/>
  <c r="N24" i="38"/>
  <c r="CX24" i="38" s="1"/>
  <c r="CR23" i="38"/>
  <c r="CP23" i="38"/>
  <c r="BX23" i="38"/>
  <c r="BV23" i="38"/>
  <c r="BH23" i="38"/>
  <c r="BF23" i="38"/>
  <c r="BZ23" i="38" s="1"/>
  <c r="CX23" i="38" s="1"/>
  <c r="AJ23" i="38"/>
  <c r="DB23" i="38" s="1"/>
  <c r="AH23" i="38"/>
  <c r="P23" i="38"/>
  <c r="N23" i="38"/>
  <c r="CR22" i="38"/>
  <c r="CP22" i="38"/>
  <c r="BX22" i="38"/>
  <c r="BV22" i="38"/>
  <c r="BH22" i="38"/>
  <c r="BF22" i="38"/>
  <c r="AJ22" i="38"/>
  <c r="AH22" i="38"/>
  <c r="BZ22" i="38" s="1"/>
  <c r="P22" i="38"/>
  <c r="N22" i="38"/>
  <c r="DB21" i="38"/>
  <c r="CR21" i="38"/>
  <c r="CP21" i="38"/>
  <c r="BX21" i="38"/>
  <c r="BV21" i="38"/>
  <c r="BH21" i="38"/>
  <c r="BH44" i="38" s="1"/>
  <c r="BF21" i="38"/>
  <c r="AJ21" i="38"/>
  <c r="CB21" i="38" s="1"/>
  <c r="AH21" i="38"/>
  <c r="BZ21" i="38" s="1"/>
  <c r="P21" i="38"/>
  <c r="CZ21" i="38" s="1"/>
  <c r="N21" i="38"/>
  <c r="DB20" i="38"/>
  <c r="CZ20" i="38"/>
  <c r="CP20" i="38"/>
  <c r="CB20" i="38"/>
  <c r="BX20" i="38"/>
  <c r="BV20" i="38"/>
  <c r="BF20" i="38"/>
  <c r="AH20" i="38"/>
  <c r="BZ20" i="38" s="1"/>
  <c r="CX20" i="38" s="1"/>
  <c r="P20" i="38"/>
  <c r="N20" i="38"/>
  <c r="DB19" i="38"/>
  <c r="CP19" i="38"/>
  <c r="BX19" i="38"/>
  <c r="BV19" i="38"/>
  <c r="BH19" i="38"/>
  <c r="BF19" i="38"/>
  <c r="BZ19" i="38" s="1"/>
  <c r="AH19" i="38"/>
  <c r="P19" i="38"/>
  <c r="N19" i="38"/>
  <c r="DB18" i="38"/>
  <c r="DB43" i="38" s="1"/>
  <c r="CP18" i="38"/>
  <c r="BZ18" i="38"/>
  <c r="BV18" i="38"/>
  <c r="BF18" i="38"/>
  <c r="AH18" i="38"/>
  <c r="P18" i="38"/>
  <c r="CZ18" i="38" s="1"/>
  <c r="N18" i="38"/>
  <c r="CR17" i="38"/>
  <c r="CP17" i="38"/>
  <c r="BX17" i="38"/>
  <c r="BX41" i="38" s="1"/>
  <c r="BV17" i="38"/>
  <c r="BH17" i="38"/>
  <c r="BH41" i="38" s="1"/>
  <c r="BF17" i="38"/>
  <c r="AJ17" i="38"/>
  <c r="DB17" i="38" s="1"/>
  <c r="DB41" i="38" s="1"/>
  <c r="AH17" i="38"/>
  <c r="BZ17" i="38" s="1"/>
  <c r="P17" i="38"/>
  <c r="N17" i="38"/>
  <c r="CV15" i="38"/>
  <c r="CV36" i="38" s="1"/>
  <c r="CV37" i="38" s="1"/>
  <c r="CH15" i="38"/>
  <c r="CH36" i="38" s="1"/>
  <c r="CH37" i="38" s="1"/>
  <c r="BP15" i="38"/>
  <c r="BP36" i="38" s="1"/>
  <c r="BP37" i="38" s="1"/>
  <c r="AZ15" i="38"/>
  <c r="AZ36" i="38" s="1"/>
  <c r="AZ37" i="38" s="1"/>
  <c r="AR15" i="38"/>
  <c r="AR36" i="38" s="1"/>
  <c r="T15" i="38"/>
  <c r="T36" i="38" s="1"/>
  <c r="T37" i="38" s="1"/>
  <c r="L15" i="38"/>
  <c r="L36" i="38" s="1"/>
  <c r="L37" i="38" s="1"/>
  <c r="CZ14" i="38"/>
  <c r="CV14" i="38"/>
  <c r="CT14" i="38"/>
  <c r="CP14" i="38"/>
  <c r="CL14" i="38"/>
  <c r="CH14" i="38"/>
  <c r="CD14" i="38"/>
  <c r="BZ14" i="38"/>
  <c r="BR14" i="38"/>
  <c r="BN14" i="38"/>
  <c r="BJ14" i="38"/>
  <c r="BV14" i="38" s="1"/>
  <c r="BB14" i="38"/>
  <c r="AX14" i="38"/>
  <c r="AT14" i="38"/>
  <c r="BF14" i="38" s="1"/>
  <c r="AP14" i="38"/>
  <c r="AL14" i="38"/>
  <c r="AD14" i="38"/>
  <c r="AH14" i="38" s="1"/>
  <c r="Z14" i="38"/>
  <c r="V14" i="38"/>
  <c r="T14" i="38"/>
  <c r="R14" i="38"/>
  <c r="J14" i="38"/>
  <c r="F14" i="38"/>
  <c r="N14" i="38" s="1"/>
  <c r="CZ13" i="38"/>
  <c r="CP13" i="38"/>
  <c r="BV13" i="38"/>
  <c r="BZ13" i="38" s="1"/>
  <c r="BF13" i="38"/>
  <c r="AH13" i="38"/>
  <c r="N13" i="38"/>
  <c r="CX13" i="38" s="1"/>
  <c r="CV11" i="38"/>
  <c r="CT11" i="38"/>
  <c r="CT15" i="38" s="1"/>
  <c r="CT36" i="38" s="1"/>
  <c r="CT37" i="38" s="1"/>
  <c r="CP11" i="38"/>
  <c r="CL11" i="38"/>
  <c r="CL15" i="38" s="1"/>
  <c r="CL36" i="38" s="1"/>
  <c r="CL37" i="38" s="1"/>
  <c r="CH11" i="38"/>
  <c r="CD11" i="38"/>
  <c r="CD15" i="38" s="1"/>
  <c r="BT11" i="38"/>
  <c r="BT15" i="38" s="1"/>
  <c r="BT36" i="38" s="1"/>
  <c r="BT37" i="38" s="1"/>
  <c r="BR11" i="38"/>
  <c r="BR15" i="38" s="1"/>
  <c r="BR36" i="38" s="1"/>
  <c r="BR37" i="38" s="1"/>
  <c r="BP11" i="38"/>
  <c r="BN11" i="38"/>
  <c r="BN15" i="38" s="1"/>
  <c r="BN36" i="38" s="1"/>
  <c r="BN37" i="38" s="1"/>
  <c r="BL11" i="38"/>
  <c r="BJ11" i="38"/>
  <c r="BJ15" i="38" s="1"/>
  <c r="BD11" i="38"/>
  <c r="BD15" i="38" s="1"/>
  <c r="BD36" i="38" s="1"/>
  <c r="BD37" i="38" s="1"/>
  <c r="BB11" i="38"/>
  <c r="BB15" i="38" s="1"/>
  <c r="BB36" i="38" s="1"/>
  <c r="BB37" i="38" s="1"/>
  <c r="AZ11" i="38"/>
  <c r="AX11" i="38"/>
  <c r="AX15" i="38" s="1"/>
  <c r="AX36" i="38" s="1"/>
  <c r="AX37" i="38" s="1"/>
  <c r="AV11" i="38"/>
  <c r="AT11" i="38"/>
  <c r="AT15" i="38" s="1"/>
  <c r="AR11" i="38"/>
  <c r="AP11" i="38"/>
  <c r="AP15" i="38" s="1"/>
  <c r="AP36" i="38" s="1"/>
  <c r="AP37" i="38" s="1"/>
  <c r="AN11" i="38"/>
  <c r="AN15" i="38" s="1"/>
  <c r="AL11" i="38"/>
  <c r="AL15" i="38" s="1"/>
  <c r="AL36" i="38" s="1"/>
  <c r="AL37" i="38" s="1"/>
  <c r="AD11" i="38"/>
  <c r="AD15" i="38" s="1"/>
  <c r="AD36" i="38" s="1"/>
  <c r="AD37" i="38" s="1"/>
  <c r="Z11" i="38"/>
  <c r="Z15" i="38" s="1"/>
  <c r="Z36" i="38" s="1"/>
  <c r="Z37" i="38" s="1"/>
  <c r="V11" i="38"/>
  <c r="AH11" i="38" s="1"/>
  <c r="T11" i="38"/>
  <c r="R11" i="38"/>
  <c r="R15" i="38" s="1"/>
  <c r="R36" i="38" s="1"/>
  <c r="R37" i="38" s="1"/>
  <c r="P11" i="38"/>
  <c r="L11" i="38"/>
  <c r="J11" i="38"/>
  <c r="J15" i="38" s="1"/>
  <c r="J36" i="38" s="1"/>
  <c r="J37" i="38" s="1"/>
  <c r="H11" i="38"/>
  <c r="H15" i="38" s="1"/>
  <c r="F11" i="38"/>
  <c r="N11" i="38" s="1"/>
  <c r="CP10" i="38"/>
  <c r="BV10" i="38"/>
  <c r="BF10" i="38"/>
  <c r="AH10" i="38"/>
  <c r="BZ10" i="38" s="1"/>
  <c r="P10" i="38"/>
  <c r="CZ10" i="38" s="1"/>
  <c r="N10" i="38"/>
  <c r="CZ9" i="38"/>
  <c r="CX9" i="38"/>
  <c r="CP9" i="38"/>
  <c r="BV9" i="38"/>
  <c r="BF9" i="38"/>
  <c r="BZ9" i="38" s="1"/>
  <c r="AH9" i="38"/>
  <c r="P9" i="38"/>
  <c r="N9" i="38"/>
  <c r="CP8" i="38"/>
  <c r="BX8" i="38"/>
  <c r="BV8" i="38"/>
  <c r="BH8" i="38"/>
  <c r="CB8" i="38" s="1"/>
  <c r="CZ8" i="38" s="1"/>
  <c r="BF8" i="38"/>
  <c r="BZ8" i="38" s="1"/>
  <c r="AH8" i="38"/>
  <c r="P8" i="38"/>
  <c r="N8" i="38"/>
  <c r="CZ7" i="38"/>
  <c r="CP7" i="38"/>
  <c r="BX7" i="38"/>
  <c r="BV7" i="38"/>
  <c r="BH7" i="38"/>
  <c r="CB7" i="38" s="1"/>
  <c r="BF7" i="38"/>
  <c r="BZ7" i="38" s="1"/>
  <c r="AH7" i="38"/>
  <c r="P7" i="38"/>
  <c r="N7" i="38"/>
  <c r="CZ6" i="38"/>
  <c r="CP6" i="38"/>
  <c r="CB6" i="38"/>
  <c r="BV6" i="38"/>
  <c r="BH6" i="38"/>
  <c r="BF6" i="38"/>
  <c r="AH6" i="38"/>
  <c r="BZ6" i="38" s="1"/>
  <c r="P6" i="38"/>
  <c r="N6" i="38"/>
  <c r="CX35" i="38" l="1"/>
  <c r="CX21" i="38"/>
  <c r="CZ29" i="38"/>
  <c r="BJ36" i="38"/>
  <c r="BV15" i="38"/>
  <c r="CX14" i="38"/>
  <c r="CB35" i="38"/>
  <c r="DB35" i="38"/>
  <c r="P36" i="38"/>
  <c r="AV15" i="38"/>
  <c r="BH11" i="38"/>
  <c r="CZ28" i="38"/>
  <c r="CX8" i="38"/>
  <c r="P15" i="38"/>
  <c r="BL15" i="38"/>
  <c r="BX11" i="38"/>
  <c r="CX17" i="38"/>
  <c r="CB17" i="38"/>
  <c r="CZ17" i="38" s="1"/>
  <c r="DA17" i="38" s="1"/>
  <c r="CX18" i="38"/>
  <c r="CX19" i="38"/>
  <c r="BH43" i="38"/>
  <c r="BH45" i="38" s="1"/>
  <c r="DB44" i="38"/>
  <c r="DB45" i="38" s="1"/>
  <c r="DB22" i="38"/>
  <c r="CB22" i="38"/>
  <c r="CX25" i="38"/>
  <c r="CX33" i="38"/>
  <c r="P35" i="38"/>
  <c r="CZ35" i="38" s="1"/>
  <c r="X37" i="38"/>
  <c r="AJ37" i="38" s="1"/>
  <c r="AJ36" i="38"/>
  <c r="CP15" i="38"/>
  <c r="CD36" i="38"/>
  <c r="CZ22" i="38"/>
  <c r="DB26" i="38"/>
  <c r="CB26" i="38"/>
  <c r="CZ26" i="38" s="1"/>
  <c r="P37" i="38"/>
  <c r="AN36" i="38"/>
  <c r="AN37" i="38" s="1"/>
  <c r="CX6" i="38"/>
  <c r="CX10" i="38"/>
  <c r="CX7" i="38"/>
  <c r="AT36" i="38"/>
  <c r="BF15" i="38"/>
  <c r="CB11" i="38"/>
  <c r="CZ11" i="38" s="1"/>
  <c r="AR37" i="38"/>
  <c r="DB37" i="38" s="1"/>
  <c r="DB36" i="38"/>
  <c r="BX44" i="38"/>
  <c r="BX45" i="38" s="1"/>
  <c r="CX22" i="38"/>
  <c r="CZ25" i="38"/>
  <c r="CX29" i="38"/>
  <c r="CX31" i="38"/>
  <c r="CX32" i="38"/>
  <c r="CR36" i="38"/>
  <c r="CF37" i="38"/>
  <c r="CR37" i="38" s="1"/>
  <c r="BF11" i="38"/>
  <c r="BZ11" i="38" s="1"/>
  <c r="CX11" i="38" s="1"/>
  <c r="BV11" i="38"/>
  <c r="F15" i="38"/>
  <c r="V15" i="38"/>
  <c r="CB19" i="38"/>
  <c r="CZ19" i="38" s="1"/>
  <c r="CB23" i="38"/>
  <c r="CZ23" i="38" s="1"/>
  <c r="CB27" i="38"/>
  <c r="CZ27" i="38" s="1"/>
  <c r="DA27" i="38" s="1"/>
  <c r="CR35" i="38"/>
  <c r="AV36" i="38" l="1"/>
  <c r="BH15" i="38"/>
  <c r="BJ37" i="38"/>
  <c r="BV37" i="38" s="1"/>
  <c r="BV36" i="38"/>
  <c r="V36" i="38"/>
  <c r="AH15" i="38"/>
  <c r="BZ15" i="38" s="1"/>
  <c r="BL36" i="38"/>
  <c r="BX15" i="38"/>
  <c r="CP36" i="38"/>
  <c r="CD37" i="38"/>
  <c r="CP37" i="38" s="1"/>
  <c r="F36" i="38"/>
  <c r="N15" i="38"/>
  <c r="CX15" i="38" s="1"/>
  <c r="AT37" i="38"/>
  <c r="BF37" i="38" s="1"/>
  <c r="BF36" i="38"/>
  <c r="N36" i="38" l="1"/>
  <c r="F37" i="38"/>
  <c r="N37" i="38" s="1"/>
  <c r="V37" i="38"/>
  <c r="AH37" i="38" s="1"/>
  <c r="BZ37" i="38" s="1"/>
  <c r="AH36" i="38"/>
  <c r="BZ36" i="38" s="1"/>
  <c r="CB15" i="38"/>
  <c r="CZ15" i="38" s="1"/>
  <c r="BL37" i="38"/>
  <c r="BX37" i="38" s="1"/>
  <c r="BX36" i="38"/>
  <c r="AV37" i="38"/>
  <c r="BH37" i="38" s="1"/>
  <c r="CB37" i="38" s="1"/>
  <c r="CZ37" i="38" s="1"/>
  <c r="BH36" i="38"/>
  <c r="CB36" i="38" s="1"/>
  <c r="CZ36" i="38" s="1"/>
  <c r="CX37" i="38" l="1"/>
  <c r="CX36" i="38"/>
  <c r="I49" i="6" l="1"/>
  <c r="H49" i="6"/>
  <c r="H50" i="6" s="1"/>
  <c r="G49" i="6"/>
  <c r="F49" i="6"/>
  <c r="D49" i="6"/>
  <c r="C49" i="6"/>
  <c r="B49" i="6"/>
  <c r="C118" i="5" l="1"/>
  <c r="C50" i="6"/>
  <c r="C66" i="6" s="1"/>
  <c r="AC97" i="21" l="1"/>
  <c r="AC99" i="21" s="1"/>
  <c r="AA97" i="21"/>
  <c r="AA99" i="21" s="1"/>
  <c r="Y97" i="21"/>
  <c r="Y99" i="21" s="1"/>
  <c r="W97" i="21"/>
  <c r="W99" i="21" s="1"/>
  <c r="U97" i="21"/>
  <c r="U99" i="21" s="1"/>
  <c r="S97" i="21"/>
  <c r="S99" i="21" s="1"/>
  <c r="Q97" i="21"/>
  <c r="Q99" i="21" s="1"/>
  <c r="O97" i="21"/>
  <c r="O99" i="21" s="1"/>
  <c r="M97" i="21"/>
  <c r="M99" i="21" s="1"/>
  <c r="K97" i="21"/>
  <c r="K99" i="21" s="1"/>
  <c r="I97" i="21"/>
  <c r="I99" i="21" s="1"/>
  <c r="G97" i="21"/>
  <c r="G99" i="21" s="1"/>
  <c r="AC88" i="21"/>
  <c r="AC101" i="21" s="1"/>
  <c r="AA88" i="21"/>
  <c r="AA101" i="21" s="1"/>
  <c r="Y88" i="21"/>
  <c r="Y101" i="21" s="1"/>
  <c r="W88" i="21"/>
  <c r="W101" i="21" s="1"/>
  <c r="U88" i="21"/>
  <c r="U101" i="21" s="1"/>
  <c r="S88" i="21"/>
  <c r="S101" i="21" s="1"/>
  <c r="Q88" i="21"/>
  <c r="Q101" i="21" s="1"/>
  <c r="O88" i="21"/>
  <c r="O101" i="21" s="1"/>
  <c r="M88" i="21"/>
  <c r="M101" i="21" s="1"/>
  <c r="K88" i="21"/>
  <c r="K101" i="21" s="1"/>
  <c r="I88" i="21"/>
  <c r="I101" i="21" s="1"/>
  <c r="G88" i="21"/>
  <c r="G101" i="21" s="1"/>
  <c r="AC74" i="21"/>
  <c r="AA74" i="21"/>
  <c r="Y74" i="21"/>
  <c r="W74" i="21"/>
  <c r="U74" i="21"/>
  <c r="S74" i="21"/>
  <c r="Q74" i="21"/>
  <c r="O74" i="21"/>
  <c r="M74" i="21"/>
  <c r="K74" i="21"/>
  <c r="I74" i="21"/>
  <c r="G74" i="21"/>
  <c r="AC36" i="21"/>
  <c r="AC80" i="21" s="1"/>
  <c r="AA36" i="21"/>
  <c r="AA80" i="21" s="1"/>
  <c r="Y36" i="21"/>
  <c r="Y80" i="21" s="1"/>
  <c r="W36" i="21"/>
  <c r="W80" i="21" s="1"/>
  <c r="U36" i="21"/>
  <c r="U80" i="21" s="1"/>
  <c r="S36" i="21"/>
  <c r="S80" i="21" s="1"/>
  <c r="Q36" i="21"/>
  <c r="Q80" i="21" s="1"/>
  <c r="O36" i="21"/>
  <c r="O80" i="21" s="1"/>
  <c r="M36" i="21"/>
  <c r="M80" i="21" s="1"/>
  <c r="K36" i="21"/>
  <c r="K80" i="21" s="1"/>
  <c r="I36" i="21"/>
  <c r="I80" i="21" s="1"/>
  <c r="G36" i="21"/>
  <c r="G80" i="21" s="1"/>
  <c r="AC31" i="21"/>
  <c r="AC81" i="21" s="1"/>
  <c r="AC82" i="21" s="1"/>
  <c r="AC102" i="21" s="1"/>
  <c r="AA31" i="21"/>
  <c r="AA81" i="21" s="1"/>
  <c r="AA82" i="21" s="1"/>
  <c r="AA102" i="21" s="1"/>
  <c r="Y31" i="21"/>
  <c r="Y81" i="21" s="1"/>
  <c r="Y82" i="21" s="1"/>
  <c r="Y102" i="21" s="1"/>
  <c r="W31" i="21"/>
  <c r="W81" i="21" s="1"/>
  <c r="W82" i="21" s="1"/>
  <c r="W102" i="21" s="1"/>
  <c r="U31" i="21"/>
  <c r="U81" i="21" s="1"/>
  <c r="U82" i="21" s="1"/>
  <c r="U102" i="21" s="1"/>
  <c r="S31" i="21"/>
  <c r="S81" i="21" s="1"/>
  <c r="S82" i="21" s="1"/>
  <c r="S102" i="21" s="1"/>
  <c r="Q31" i="21"/>
  <c r="Q81" i="21" s="1"/>
  <c r="Q82" i="21" s="1"/>
  <c r="Q102" i="21" s="1"/>
  <c r="O31" i="21"/>
  <c r="O81" i="21" s="1"/>
  <c r="O82" i="21" s="1"/>
  <c r="O102" i="21" s="1"/>
  <c r="M31" i="21"/>
  <c r="M81" i="21" s="1"/>
  <c r="M82" i="21" s="1"/>
  <c r="M102" i="21" s="1"/>
  <c r="K31" i="21"/>
  <c r="K81" i="21" s="1"/>
  <c r="K82" i="21" s="1"/>
  <c r="K102" i="21" s="1"/>
  <c r="I31" i="21"/>
  <c r="I81" i="21" s="1"/>
  <c r="I82" i="21" s="1"/>
  <c r="I102" i="21" s="1"/>
  <c r="G31" i="21"/>
  <c r="G81" i="21" s="1"/>
  <c r="G82" i="21" s="1"/>
  <c r="G102" i="21" s="1"/>
  <c r="AC23" i="21"/>
  <c r="AA23" i="21"/>
  <c r="Y23" i="21"/>
  <c r="W23" i="21"/>
  <c r="U23" i="21"/>
  <c r="S23" i="21"/>
  <c r="Q23" i="21"/>
  <c r="O23" i="21"/>
  <c r="M23" i="21"/>
  <c r="K23" i="21"/>
  <c r="I23" i="21"/>
  <c r="G23" i="21"/>
  <c r="AC18" i="21"/>
  <c r="AA18" i="21"/>
  <c r="Y18" i="21"/>
  <c r="W18" i="21"/>
  <c r="U18" i="21"/>
  <c r="S18" i="21"/>
  <c r="Q18" i="21"/>
  <c r="O18" i="21"/>
  <c r="M18" i="21"/>
  <c r="K18" i="21"/>
  <c r="I18" i="21"/>
  <c r="G18" i="21"/>
  <c r="AC11" i="21"/>
  <c r="AA11" i="21"/>
  <c r="Y11" i="21"/>
  <c r="W11" i="21"/>
  <c r="U11" i="21"/>
  <c r="S11" i="21"/>
  <c r="Q11" i="21"/>
  <c r="O11" i="21"/>
  <c r="M11" i="21"/>
  <c r="K11" i="21"/>
  <c r="I11" i="21"/>
  <c r="G11" i="21"/>
  <c r="AC7" i="21"/>
  <c r="AC15" i="21" s="1"/>
  <c r="AC24" i="21" s="1"/>
  <c r="AC25" i="21" s="1"/>
  <c r="AA7" i="21"/>
  <c r="AA15" i="21" s="1"/>
  <c r="AA24" i="21" s="1"/>
  <c r="AA25" i="21" s="1"/>
  <c r="Y7" i="21"/>
  <c r="Y15" i="21" s="1"/>
  <c r="Y24" i="21" s="1"/>
  <c r="Y25" i="21" s="1"/>
  <c r="W7" i="21"/>
  <c r="W15" i="21" s="1"/>
  <c r="W24" i="21" s="1"/>
  <c r="W25" i="21" s="1"/>
  <c r="U7" i="21"/>
  <c r="U15" i="21" s="1"/>
  <c r="U24" i="21" s="1"/>
  <c r="U25" i="21" s="1"/>
  <c r="S7" i="21"/>
  <c r="S15" i="21" s="1"/>
  <c r="S24" i="21" s="1"/>
  <c r="S25" i="21" s="1"/>
  <c r="Q7" i="21"/>
  <c r="Q15" i="21" s="1"/>
  <c r="Q24" i="21" s="1"/>
  <c r="Q25" i="21" s="1"/>
  <c r="O7" i="21"/>
  <c r="O15" i="21" s="1"/>
  <c r="O24" i="21" s="1"/>
  <c r="O25" i="21" s="1"/>
  <c r="M7" i="21"/>
  <c r="M15" i="21" s="1"/>
  <c r="M24" i="21" s="1"/>
  <c r="M25" i="21" s="1"/>
  <c r="K7" i="21"/>
  <c r="K15" i="21" s="1"/>
  <c r="K24" i="21" s="1"/>
  <c r="K25" i="21" s="1"/>
  <c r="I7" i="21"/>
  <c r="I15" i="21" s="1"/>
  <c r="I24" i="21" s="1"/>
  <c r="I25" i="21" s="1"/>
  <c r="G7" i="21"/>
  <c r="G15" i="21" s="1"/>
  <c r="G24" i="21" s="1"/>
  <c r="G25" i="21" s="1"/>
  <c r="I7" i="2" l="1"/>
  <c r="B7" i="2"/>
  <c r="I4" i="2"/>
  <c r="B4" i="2"/>
  <c r="C99" i="5"/>
  <c r="B99" i="5"/>
  <c r="N103" i="5"/>
  <c r="D99" i="5"/>
  <c r="I103" i="5"/>
  <c r="I101" i="5"/>
  <c r="I99" i="5"/>
  <c r="H103" i="5"/>
  <c r="H101" i="5"/>
  <c r="H99" i="5"/>
  <c r="L103" i="5"/>
  <c r="L101" i="5"/>
  <c r="L99" i="5"/>
  <c r="K103" i="5"/>
  <c r="K101" i="5"/>
  <c r="K99" i="5"/>
  <c r="J103" i="5"/>
  <c r="J101" i="5"/>
  <c r="J99" i="5"/>
  <c r="E103" i="5"/>
  <c r="D103" i="5"/>
  <c r="C103" i="5"/>
  <c r="B103" i="5"/>
  <c r="E101" i="5"/>
  <c r="D101" i="5"/>
  <c r="C101" i="5"/>
  <c r="B101" i="5"/>
  <c r="E99" i="5"/>
  <c r="C56" i="5"/>
  <c r="C59" i="5"/>
  <c r="C58" i="5"/>
  <c r="C57" i="5"/>
  <c r="C55" i="5"/>
  <c r="C44" i="5"/>
  <c r="C35" i="5"/>
  <c r="C33" i="5"/>
  <c r="C32" i="5"/>
  <c r="C31" i="5"/>
  <c r="C28" i="5"/>
  <c r="C27" i="5"/>
  <c r="C24" i="5"/>
  <c r="C23" i="5"/>
  <c r="C8" i="5"/>
  <c r="J42" i="24"/>
  <c r="L42" i="24" s="1"/>
  <c r="J41" i="24"/>
  <c r="H41" i="24"/>
  <c r="L41" i="24" s="1"/>
  <c r="L40" i="24"/>
  <c r="J38" i="24"/>
  <c r="H38" i="24"/>
  <c r="L38" i="24" s="1"/>
  <c r="L37" i="24"/>
  <c r="L36" i="24"/>
  <c r="L35" i="24"/>
  <c r="L34" i="24"/>
  <c r="L33" i="24"/>
  <c r="L32" i="24"/>
  <c r="L31" i="24"/>
  <c r="L30" i="24"/>
  <c r="L29" i="24"/>
  <c r="L28" i="24"/>
  <c r="L27" i="24"/>
  <c r="J23" i="24"/>
  <c r="C46" i="5" s="1"/>
  <c r="H23" i="24"/>
  <c r="L23" i="24" s="1"/>
  <c r="L21" i="24"/>
  <c r="L20" i="24"/>
  <c r="J19" i="24"/>
  <c r="H19" i="24"/>
  <c r="L19" i="24" s="1"/>
  <c r="L18" i="24"/>
  <c r="L17" i="24"/>
  <c r="L16" i="24"/>
  <c r="L15" i="24"/>
  <c r="L12" i="24"/>
  <c r="L11" i="24"/>
  <c r="L10" i="24"/>
  <c r="L9" i="24"/>
  <c r="L8" i="24"/>
  <c r="J8" i="24"/>
  <c r="J13" i="24" s="1"/>
  <c r="J22" i="24" s="1"/>
  <c r="J24" i="24" s="1"/>
  <c r="J39" i="24" s="1"/>
  <c r="J44" i="24" s="1"/>
  <c r="H8" i="24"/>
  <c r="H13" i="24" s="1"/>
  <c r="L7" i="24"/>
  <c r="L6" i="24"/>
  <c r="L13" i="24" l="1"/>
  <c r="H22" i="24"/>
  <c r="H24" i="24" l="1"/>
  <c r="H39" i="24" s="1"/>
  <c r="H44" i="24" s="1"/>
  <c r="L22" i="24"/>
  <c r="L24" i="24" s="1"/>
  <c r="L39" i="24" s="1"/>
  <c r="L44" i="24" s="1"/>
  <c r="C4" i="5" l="1"/>
  <c r="AP6" i="37"/>
  <c r="AR6" i="37" s="1"/>
  <c r="AQ6" i="37"/>
  <c r="L7" i="37"/>
  <c r="V7" i="37"/>
  <c r="AB7" i="37" s="1"/>
  <c r="AJ7" i="37" s="1"/>
  <c r="AN7" i="37" s="1"/>
  <c r="AP7" i="37" s="1"/>
  <c r="AQ7" i="37"/>
  <c r="L8" i="37"/>
  <c r="V8" i="37"/>
  <c r="AB8" i="37" s="1"/>
  <c r="AJ8" i="37" s="1"/>
  <c r="AN8" i="37" s="1"/>
  <c r="AP8" i="37" s="1"/>
  <c r="AR8" i="37" s="1"/>
  <c r="AQ8" i="37"/>
  <c r="H9" i="37"/>
  <c r="L9" i="37" s="1"/>
  <c r="J9" i="37"/>
  <c r="N9" i="37"/>
  <c r="P9" i="37"/>
  <c r="AJ9" i="37" s="1"/>
  <c r="R9" i="37"/>
  <c r="V9" i="37" s="1"/>
  <c r="AB9" i="37" s="1"/>
  <c r="T9" i="37"/>
  <c r="X9" i="37"/>
  <c r="Z9" i="37"/>
  <c r="AD9" i="37"/>
  <c r="AF9" i="37"/>
  <c r="AH9" i="37"/>
  <c r="AL9" i="37"/>
  <c r="AQ9" i="37"/>
  <c r="L10" i="37"/>
  <c r="V10" i="37"/>
  <c r="AB10" i="37" s="1"/>
  <c r="AJ10" i="37" s="1"/>
  <c r="AN10" i="37" s="1"/>
  <c r="AP10" i="37" s="1"/>
  <c r="AR10" i="37" s="1"/>
  <c r="AQ10" i="37"/>
  <c r="L11" i="37"/>
  <c r="V11" i="37"/>
  <c r="AB11" i="37" s="1"/>
  <c r="AJ11" i="37" s="1"/>
  <c r="AN11" i="37" s="1"/>
  <c r="AP11" i="37" s="1"/>
  <c r="AR11" i="37" s="1"/>
  <c r="AQ11" i="37"/>
  <c r="L12" i="37"/>
  <c r="V12" i="37"/>
  <c r="AB12" i="37" s="1"/>
  <c r="AJ12" i="37" s="1"/>
  <c r="AN12" i="37" s="1"/>
  <c r="AP12" i="37" s="1"/>
  <c r="AR12" i="37" s="1"/>
  <c r="AQ12" i="37"/>
  <c r="L13" i="37"/>
  <c r="V13" i="37"/>
  <c r="AB13" i="37" s="1"/>
  <c r="AJ13" i="37" s="1"/>
  <c r="AN13" i="37" s="1"/>
  <c r="H14" i="37"/>
  <c r="L14" i="37" s="1"/>
  <c r="J14" i="37"/>
  <c r="N14" i="37"/>
  <c r="P14" i="37"/>
  <c r="AJ14" i="37" s="1"/>
  <c r="R14" i="37"/>
  <c r="V14" i="37" s="1"/>
  <c r="AB14" i="37" s="1"/>
  <c r="T14" i="37"/>
  <c r="X14" i="37"/>
  <c r="Z14" i="37"/>
  <c r="AD14" i="37"/>
  <c r="AF14" i="37"/>
  <c r="AH14" i="37"/>
  <c r="AL14" i="37"/>
  <c r="L16" i="37"/>
  <c r="V16" i="37"/>
  <c r="AB16" i="37" s="1"/>
  <c r="AJ16" i="37" s="1"/>
  <c r="AN16" i="37" s="1"/>
  <c r="AP16" i="37" s="1"/>
  <c r="AQ16" i="37"/>
  <c r="L17" i="37"/>
  <c r="V17" i="37"/>
  <c r="AB17" i="37" s="1"/>
  <c r="AJ17" i="37" s="1"/>
  <c r="AN17" i="37" s="1"/>
  <c r="AP17" i="37" s="1"/>
  <c r="AR17" i="37" s="1"/>
  <c r="AQ17" i="37"/>
  <c r="L18" i="37"/>
  <c r="V18" i="37"/>
  <c r="AB18" i="37" s="1"/>
  <c r="AJ18" i="37" s="1"/>
  <c r="AN18" i="37" s="1"/>
  <c r="AP18" i="37" s="1"/>
  <c r="AR18" i="37" s="1"/>
  <c r="AQ18" i="37"/>
  <c r="L19" i="37"/>
  <c r="V19" i="37"/>
  <c r="AB19" i="37" s="1"/>
  <c r="AJ19" i="37" s="1"/>
  <c r="AN19" i="37" s="1"/>
  <c r="AP19" i="37" s="1"/>
  <c r="AR19" i="37" s="1"/>
  <c r="AQ19" i="37"/>
  <c r="H20" i="37"/>
  <c r="L20" i="37" s="1"/>
  <c r="J20" i="37"/>
  <c r="N20" i="37"/>
  <c r="P20" i="37"/>
  <c r="AJ20" i="37" s="1"/>
  <c r="R20" i="37"/>
  <c r="V20" i="37" s="1"/>
  <c r="AB20" i="37" s="1"/>
  <c r="T20" i="37"/>
  <c r="X20" i="37"/>
  <c r="Z20" i="37"/>
  <c r="AD20" i="37"/>
  <c r="AF20" i="37"/>
  <c r="AH20" i="37"/>
  <c r="AL20" i="37"/>
  <c r="AQ20" i="37"/>
  <c r="L21" i="37"/>
  <c r="V21" i="37"/>
  <c r="AB21" i="37" s="1"/>
  <c r="AJ21" i="37" s="1"/>
  <c r="AQ21" i="37"/>
  <c r="L22" i="37"/>
  <c r="AN22" i="37" s="1"/>
  <c r="AP22" i="37" s="1"/>
  <c r="AR22" i="37" s="1"/>
  <c r="V22" i="37"/>
  <c r="AB22" i="37" s="1"/>
  <c r="AJ22" i="37" s="1"/>
  <c r="AQ22" i="37"/>
  <c r="H23" i="37"/>
  <c r="L23" i="37" s="1"/>
  <c r="J23" i="37"/>
  <c r="N23" i="37"/>
  <c r="P23" i="37"/>
  <c r="R23" i="37"/>
  <c r="V23" i="37" s="1"/>
  <c r="AB23" i="37" s="1"/>
  <c r="T23" i="37"/>
  <c r="X23" i="37"/>
  <c r="Z23" i="37"/>
  <c r="AD23" i="37"/>
  <c r="AF23" i="37"/>
  <c r="AH23" i="37"/>
  <c r="AL23" i="37"/>
  <c r="H24" i="37"/>
  <c r="L24" i="37" s="1"/>
  <c r="J24" i="37"/>
  <c r="N24" i="37"/>
  <c r="P24" i="37"/>
  <c r="R24" i="37"/>
  <c r="V24" i="37" s="1"/>
  <c r="AB24" i="37" s="1"/>
  <c r="T24" i="37"/>
  <c r="X24" i="37"/>
  <c r="Z24" i="37"/>
  <c r="AD24" i="37"/>
  <c r="AF24" i="37"/>
  <c r="AH24" i="37"/>
  <c r="AL24" i="37"/>
  <c r="L26" i="37"/>
  <c r="V26" i="37"/>
  <c r="AB26" i="37" s="1"/>
  <c r="AJ26" i="37" s="1"/>
  <c r="AN26" i="37" s="1"/>
  <c r="L27" i="37"/>
  <c r="V27" i="37"/>
  <c r="AB27" i="37" s="1"/>
  <c r="AJ27" i="37" s="1"/>
  <c r="L28" i="37"/>
  <c r="AN28" i="37" s="1"/>
  <c r="V28" i="37"/>
  <c r="AB28" i="37" s="1"/>
  <c r="AJ28" i="37" s="1"/>
  <c r="L29" i="37"/>
  <c r="V29" i="37"/>
  <c r="AB29" i="37" s="1"/>
  <c r="AJ29" i="37" s="1"/>
  <c r="L30" i="37"/>
  <c r="AN30" i="37" s="1"/>
  <c r="V30" i="37"/>
  <c r="AB30" i="37" s="1"/>
  <c r="AJ30" i="37" s="1"/>
  <c r="L31" i="37"/>
  <c r="V31" i="37"/>
  <c r="AB31" i="37" s="1"/>
  <c r="AJ31" i="37" s="1"/>
  <c r="L32" i="37"/>
  <c r="AN32" i="37" s="1"/>
  <c r="V32" i="37"/>
  <c r="AB32" i="37" s="1"/>
  <c r="AJ32" i="37" s="1"/>
  <c r="L33" i="37"/>
  <c r="V33" i="37"/>
  <c r="AB33" i="37" s="1"/>
  <c r="AJ33" i="37" s="1"/>
  <c r="L34" i="37"/>
  <c r="AN34" i="37" s="1"/>
  <c r="V34" i="37"/>
  <c r="AB34" i="37" s="1"/>
  <c r="AJ34" i="37" s="1"/>
  <c r="L35" i="37"/>
  <c r="V35" i="37"/>
  <c r="AB35" i="37" s="1"/>
  <c r="AJ35" i="37" s="1"/>
  <c r="AN35" i="37" s="1"/>
  <c r="L36" i="37"/>
  <c r="AN36" i="37" s="1"/>
  <c r="V36" i="37"/>
  <c r="AB36" i="37" s="1"/>
  <c r="AJ36" i="37" s="1"/>
  <c r="H37" i="37"/>
  <c r="L37" i="37" s="1"/>
  <c r="J37" i="37"/>
  <c r="N37" i="37"/>
  <c r="P37" i="37"/>
  <c r="AJ37" i="37" s="1"/>
  <c r="R37" i="37"/>
  <c r="V37" i="37" s="1"/>
  <c r="AB37" i="37" s="1"/>
  <c r="T37" i="37"/>
  <c r="X37" i="37"/>
  <c r="Z37" i="37"/>
  <c r="AD37" i="37"/>
  <c r="AQ37" i="37" s="1"/>
  <c r="AF37" i="37"/>
  <c r="AH37" i="37"/>
  <c r="AL37" i="37"/>
  <c r="H38" i="37"/>
  <c r="L38" i="37" s="1"/>
  <c r="J38" i="37"/>
  <c r="N38" i="37"/>
  <c r="P38" i="37"/>
  <c r="AJ38" i="37" s="1"/>
  <c r="R38" i="37"/>
  <c r="V38" i="37" s="1"/>
  <c r="AB38" i="37" s="1"/>
  <c r="T38" i="37"/>
  <c r="X38" i="37"/>
  <c r="Z38" i="37"/>
  <c r="AD38" i="37"/>
  <c r="AF38" i="37"/>
  <c r="AH38" i="37"/>
  <c r="AL38" i="37"/>
  <c r="H39" i="37"/>
  <c r="L39" i="37" s="1"/>
  <c r="J39" i="37"/>
  <c r="N39" i="37"/>
  <c r="P39" i="37"/>
  <c r="AJ39" i="37" s="1"/>
  <c r="R39" i="37"/>
  <c r="V39" i="37" s="1"/>
  <c r="AB39" i="37" s="1"/>
  <c r="T39" i="37"/>
  <c r="X39" i="37"/>
  <c r="Z39" i="37"/>
  <c r="AD39" i="37"/>
  <c r="AF39" i="37"/>
  <c r="AH39" i="37"/>
  <c r="AL39" i="37"/>
  <c r="AN23" i="37" l="1"/>
  <c r="AP9" i="37"/>
  <c r="AR7" i="37"/>
  <c r="AN39" i="37"/>
  <c r="AN38" i="37"/>
  <c r="AN37" i="37"/>
  <c r="AN33" i="37"/>
  <c r="AN31" i="37"/>
  <c r="AP31" i="37" s="1"/>
  <c r="AR31" i="37" s="1"/>
  <c r="AN29" i="37"/>
  <c r="AN27" i="37"/>
  <c r="AP27" i="37" s="1"/>
  <c r="AR27" i="37" s="1"/>
  <c r="AN21" i="37"/>
  <c r="AP21" i="37" s="1"/>
  <c r="AR21" i="37" s="1"/>
  <c r="AP20" i="37"/>
  <c r="AR20" i="37" s="1"/>
  <c r="AR16" i="37"/>
  <c r="AJ24" i="37"/>
  <c r="AN24" i="37" s="1"/>
  <c r="AJ23" i="37"/>
  <c r="AP26" i="37"/>
  <c r="AN20" i="37"/>
  <c r="AN14" i="37"/>
  <c r="AN9" i="37"/>
  <c r="AQ36" i="37"/>
  <c r="AP36" i="37" s="1"/>
  <c r="AR36" i="37" s="1"/>
  <c r="AQ35" i="37"/>
  <c r="AP35" i="37" s="1"/>
  <c r="AR35" i="37" s="1"/>
  <c r="AQ34" i="37"/>
  <c r="AP34" i="37" s="1"/>
  <c r="AR34" i="37" s="1"/>
  <c r="AQ33" i="37"/>
  <c r="AQ32" i="37"/>
  <c r="AP32" i="37" s="1"/>
  <c r="AR32" i="37" s="1"/>
  <c r="AQ31" i="37"/>
  <c r="AQ30" i="37"/>
  <c r="AP30" i="37" s="1"/>
  <c r="AR30" i="37" s="1"/>
  <c r="AQ29" i="37"/>
  <c r="AQ28" i="37"/>
  <c r="AP28" i="37" s="1"/>
  <c r="AR28" i="37" s="1"/>
  <c r="AQ27" i="37"/>
  <c r="AQ26" i="37"/>
  <c r="AQ13" i="37"/>
  <c r="AQ14" i="37" s="1"/>
  <c r="AQ23" i="37" s="1"/>
  <c r="AQ24" i="37" s="1"/>
  <c r="AQ38" i="37" s="1"/>
  <c r="AQ39" i="37" s="1"/>
  <c r="AP33" i="37" l="1"/>
  <c r="AR33" i="37" s="1"/>
  <c r="AR9" i="37"/>
  <c r="AR26" i="37"/>
  <c r="AP29" i="37"/>
  <c r="AR29" i="37" s="1"/>
  <c r="AP13" i="37"/>
  <c r="AR13" i="37" s="1"/>
  <c r="AP37" i="37" l="1"/>
  <c r="AR37" i="37" s="1"/>
  <c r="AP14" i="37"/>
  <c r="AP23" i="37" l="1"/>
  <c r="AR14" i="37"/>
  <c r="AP24" i="37" l="1"/>
  <c r="AR23" i="37"/>
  <c r="AP38" i="37" l="1"/>
  <c r="AR24" i="37"/>
  <c r="AP39" i="37" l="1"/>
  <c r="AR39" i="37" s="1"/>
  <c r="AR38" i="37"/>
  <c r="N6" i="36" l="1"/>
  <c r="P6" i="36"/>
  <c r="AP6" i="36"/>
  <c r="AR6" i="36"/>
  <c r="CV6" i="36" s="1"/>
  <c r="DD6" i="36" s="1"/>
  <c r="BJ6" i="36"/>
  <c r="BV6" i="36" s="1"/>
  <c r="CT6" i="36" s="1"/>
  <c r="DB6" i="36" s="1"/>
  <c r="BL6" i="36"/>
  <c r="BX6" i="36"/>
  <c r="CL6" i="36"/>
  <c r="CN6" i="36"/>
  <c r="N7" i="36"/>
  <c r="AP7" i="36"/>
  <c r="AR7" i="36"/>
  <c r="CV7" i="36" s="1"/>
  <c r="DD7" i="36" s="1"/>
  <c r="BJ7" i="36"/>
  <c r="BV7" i="36" s="1"/>
  <c r="CT7" i="36" s="1"/>
  <c r="DB7" i="36" s="1"/>
  <c r="BX7" i="36"/>
  <c r="CL7" i="36"/>
  <c r="CN7" i="36"/>
  <c r="N8" i="36"/>
  <c r="P8" i="36"/>
  <c r="AP8" i="36"/>
  <c r="BJ8" i="36"/>
  <c r="BV8" i="36" s="1"/>
  <c r="CT8" i="36" s="1"/>
  <c r="DB8" i="36" s="1"/>
  <c r="CL8" i="36"/>
  <c r="DD8" i="36"/>
  <c r="DF8" i="36" s="1"/>
  <c r="DH8" i="36" s="1"/>
  <c r="DG8" i="36"/>
  <c r="N9" i="36"/>
  <c r="P9" i="36"/>
  <c r="AP9" i="36"/>
  <c r="BJ9" i="36"/>
  <c r="BV9" i="36" s="1"/>
  <c r="CT9" i="36" s="1"/>
  <c r="DB9" i="36" s="1"/>
  <c r="CL9" i="36"/>
  <c r="DD9" i="36"/>
  <c r="DF9" i="36" s="1"/>
  <c r="DH9" i="36" s="1"/>
  <c r="DG9" i="36"/>
  <c r="N10" i="36"/>
  <c r="DB10" i="36" s="1"/>
  <c r="AP10" i="36"/>
  <c r="AR10" i="36"/>
  <c r="BJ10" i="36"/>
  <c r="BV10" i="36" s="1"/>
  <c r="CT10" i="36" s="1"/>
  <c r="BX10" i="36"/>
  <c r="CL10" i="36"/>
  <c r="CV10" i="36"/>
  <c r="DD10" i="36" s="1"/>
  <c r="DF10" i="36" s="1"/>
  <c r="DH10" i="36" s="1"/>
  <c r="DG10" i="36"/>
  <c r="F11" i="36"/>
  <c r="H11" i="36"/>
  <c r="P11" i="36" s="1"/>
  <c r="J11" i="36"/>
  <c r="N11" i="36" s="1"/>
  <c r="L11" i="36"/>
  <c r="R11" i="36"/>
  <c r="T11" i="36"/>
  <c r="V11" i="36"/>
  <c r="Z11" i="36"/>
  <c r="AP11" i="36" s="1"/>
  <c r="AB11" i="36"/>
  <c r="AD11" i="36"/>
  <c r="AF11" i="36"/>
  <c r="AH11" i="36"/>
  <c r="AL11" i="36"/>
  <c r="AN11" i="36"/>
  <c r="AR11" i="36"/>
  <c r="AT11" i="36"/>
  <c r="BJ11" i="36" s="1"/>
  <c r="BV11" i="36" s="1"/>
  <c r="AX11" i="36"/>
  <c r="BB11" i="36"/>
  <c r="BD11" i="36"/>
  <c r="BL11" i="36" s="1"/>
  <c r="BX11" i="36" s="1"/>
  <c r="BF11" i="36"/>
  <c r="BH11" i="36"/>
  <c r="BN11" i="36"/>
  <c r="BR11" i="36"/>
  <c r="BT11" i="36"/>
  <c r="BZ11" i="36"/>
  <c r="CD11" i="36"/>
  <c r="CH11" i="36"/>
  <c r="CL11" i="36" s="1"/>
  <c r="CJ11" i="36"/>
  <c r="CN11" i="36" s="1"/>
  <c r="CP11" i="36"/>
  <c r="CX11" i="36"/>
  <c r="DF12" i="36"/>
  <c r="DH12" i="36" s="1"/>
  <c r="DG12" i="36"/>
  <c r="N13" i="36"/>
  <c r="AP13" i="36"/>
  <c r="CT13" i="36" s="1"/>
  <c r="DB13" i="36" s="1"/>
  <c r="BJ13" i="36"/>
  <c r="BV13" i="36" s="1"/>
  <c r="BX13" i="36"/>
  <c r="CV13" i="36" s="1"/>
  <c r="DD13" i="36" s="1"/>
  <c r="DF13" i="36" s="1"/>
  <c r="DH13" i="36" s="1"/>
  <c r="CL13" i="36"/>
  <c r="DG13" i="36"/>
  <c r="F14" i="36"/>
  <c r="N14" i="36" s="1"/>
  <c r="J14" i="36"/>
  <c r="R14" i="36"/>
  <c r="R15" i="36" s="1"/>
  <c r="R35" i="36" s="1"/>
  <c r="T14" i="36"/>
  <c r="V14" i="36"/>
  <c r="Z14" i="36"/>
  <c r="AD14" i="36"/>
  <c r="AD15" i="36" s="1"/>
  <c r="AD35" i="36" s="1"/>
  <c r="AD36" i="36" s="1"/>
  <c r="AH14" i="36"/>
  <c r="AL14" i="36"/>
  <c r="AT14" i="36"/>
  <c r="AT15" i="36" s="1"/>
  <c r="AX14" i="36"/>
  <c r="BB14" i="36"/>
  <c r="BF14" i="36"/>
  <c r="BN14" i="36"/>
  <c r="BR14" i="36"/>
  <c r="BT14" i="36"/>
  <c r="BX14" i="36"/>
  <c r="BZ14" i="36"/>
  <c r="CD14" i="36"/>
  <c r="CH14" i="36"/>
  <c r="CL14" i="36" s="1"/>
  <c r="CP14" i="36"/>
  <c r="CV14" i="36"/>
  <c r="DD14" i="36" s="1"/>
  <c r="DF14" i="36" s="1"/>
  <c r="DH14" i="36" s="1"/>
  <c r="CX14" i="36"/>
  <c r="DG14" i="36"/>
  <c r="F15" i="36"/>
  <c r="H15" i="36"/>
  <c r="P15" i="36" s="1"/>
  <c r="J15" i="36"/>
  <c r="N15" i="36" s="1"/>
  <c r="L15" i="36"/>
  <c r="T15" i="36"/>
  <c r="V15" i="36"/>
  <c r="Z15" i="36"/>
  <c r="Z35" i="36" s="1"/>
  <c r="Z36" i="36" s="1"/>
  <c r="AB15" i="36"/>
  <c r="AF15" i="36"/>
  <c r="AH15" i="36"/>
  <c r="AH35" i="36" s="1"/>
  <c r="AH36" i="36" s="1"/>
  <c r="AL15" i="36"/>
  <c r="AN15" i="36"/>
  <c r="AR15" i="36"/>
  <c r="AX15" i="36"/>
  <c r="BB15" i="36"/>
  <c r="BD15" i="36"/>
  <c r="BL15" i="36" s="1"/>
  <c r="BX15" i="36" s="1"/>
  <c r="BF15" i="36"/>
  <c r="BH15" i="36"/>
  <c r="BN15" i="36"/>
  <c r="BR15" i="36"/>
  <c r="BT15" i="36"/>
  <c r="BZ15" i="36"/>
  <c r="CD15" i="36"/>
  <c r="CH15" i="36"/>
  <c r="CL15" i="36" s="1"/>
  <c r="CJ15" i="36"/>
  <c r="CN15" i="36" s="1"/>
  <c r="CP15" i="36"/>
  <c r="CP35" i="36" s="1"/>
  <c r="CP36" i="36" s="1"/>
  <c r="CX15" i="36"/>
  <c r="DG16" i="36"/>
  <c r="DF16" i="36" s="1"/>
  <c r="DH16" i="36" s="1"/>
  <c r="N17" i="36"/>
  <c r="AP17" i="36"/>
  <c r="BJ17" i="36"/>
  <c r="BV17" i="36" s="1"/>
  <c r="CT17" i="36" s="1"/>
  <c r="CL17" i="36"/>
  <c r="DD17" i="36"/>
  <c r="DF17" i="36"/>
  <c r="DH17" i="36" s="1"/>
  <c r="DG17" i="36"/>
  <c r="N18" i="36"/>
  <c r="P18" i="36"/>
  <c r="AP18" i="36"/>
  <c r="AR18" i="36"/>
  <c r="BJ18" i="36"/>
  <c r="BV18" i="36" s="1"/>
  <c r="CT18" i="36" s="1"/>
  <c r="DB18" i="36" s="1"/>
  <c r="BL18" i="36"/>
  <c r="BX18" i="36" s="1"/>
  <c r="CV18" i="36" s="1"/>
  <c r="DD18" i="36" s="1"/>
  <c r="DF18" i="36" s="1"/>
  <c r="DH18" i="36" s="1"/>
  <c r="CL18" i="36"/>
  <c r="CN18" i="36"/>
  <c r="DG18" i="36"/>
  <c r="N19" i="36"/>
  <c r="P19" i="36"/>
  <c r="AP19" i="36"/>
  <c r="BJ19" i="36"/>
  <c r="BV19" i="36"/>
  <c r="CT19" i="36" s="1"/>
  <c r="CL19" i="36"/>
  <c r="DD19" i="36"/>
  <c r="DF19" i="36" s="1"/>
  <c r="DH19" i="36" s="1"/>
  <c r="DG19" i="36"/>
  <c r="N20" i="36"/>
  <c r="P20" i="36"/>
  <c r="AP20" i="36"/>
  <c r="BJ20" i="36"/>
  <c r="BV20" i="36"/>
  <c r="CT20" i="36" s="1"/>
  <c r="CL20" i="36"/>
  <c r="DD20" i="36"/>
  <c r="DF20" i="36" s="1"/>
  <c r="DH20" i="36" s="1"/>
  <c r="DG20" i="36"/>
  <c r="N21" i="36"/>
  <c r="P21" i="36"/>
  <c r="AP21" i="36"/>
  <c r="BJ21" i="36"/>
  <c r="BV21" i="36" s="1"/>
  <c r="CT21" i="36" s="1"/>
  <c r="BL21" i="36"/>
  <c r="BX21" i="36" s="1"/>
  <c r="CV21" i="36" s="1"/>
  <c r="DD21" i="36" s="1"/>
  <c r="DF21" i="36" s="1"/>
  <c r="DH21" i="36" s="1"/>
  <c r="CL21" i="36"/>
  <c r="CN21" i="36"/>
  <c r="DG21" i="36"/>
  <c r="N22" i="36"/>
  <c r="P22" i="36"/>
  <c r="AP22" i="36"/>
  <c r="AR22" i="36"/>
  <c r="BJ22" i="36"/>
  <c r="BV22" i="36" s="1"/>
  <c r="CT22" i="36" s="1"/>
  <c r="DB22" i="36" s="1"/>
  <c r="BL22" i="36"/>
  <c r="BX22" i="36"/>
  <c r="CL22" i="36"/>
  <c r="CN22" i="36"/>
  <c r="CV22" i="36"/>
  <c r="DD22" i="36" s="1"/>
  <c r="DF22" i="36" s="1"/>
  <c r="DH22" i="36" s="1"/>
  <c r="DG22" i="36"/>
  <c r="N23" i="36"/>
  <c r="P23" i="36"/>
  <c r="AP23" i="36"/>
  <c r="AR23" i="36"/>
  <c r="CV23" i="36" s="1"/>
  <c r="DD23" i="36" s="1"/>
  <c r="BJ23" i="36"/>
  <c r="BL23" i="36"/>
  <c r="BV23" i="36"/>
  <c r="BX23" i="36"/>
  <c r="CL23" i="36"/>
  <c r="CN23" i="36"/>
  <c r="CT23" i="36"/>
  <c r="DB23" i="36" s="1"/>
  <c r="N24" i="36"/>
  <c r="P24" i="36"/>
  <c r="AP24" i="36"/>
  <c r="CT24" i="36" s="1"/>
  <c r="DB24" i="36" s="1"/>
  <c r="AR24" i="36"/>
  <c r="BJ24" i="36"/>
  <c r="BL24" i="36"/>
  <c r="BX24" i="36" s="1"/>
  <c r="CV24" i="36" s="1"/>
  <c r="DD24" i="36" s="1"/>
  <c r="DF24" i="36" s="1"/>
  <c r="DH24" i="36" s="1"/>
  <c r="BV24" i="36"/>
  <c r="CL24" i="36"/>
  <c r="CN24" i="36"/>
  <c r="DG24" i="36"/>
  <c r="N25" i="36"/>
  <c r="P25" i="36"/>
  <c r="AP25" i="36"/>
  <c r="AR25" i="36"/>
  <c r="BJ25" i="36"/>
  <c r="BV25" i="36" s="1"/>
  <c r="CT25" i="36" s="1"/>
  <c r="DB25" i="36" s="1"/>
  <c r="BL25" i="36"/>
  <c r="BX25" i="36" s="1"/>
  <c r="CV25" i="36" s="1"/>
  <c r="DD25" i="36" s="1"/>
  <c r="DF25" i="36" s="1"/>
  <c r="DH25" i="36" s="1"/>
  <c r="CL25" i="36"/>
  <c r="CN25" i="36"/>
  <c r="DG25" i="36"/>
  <c r="N26" i="36"/>
  <c r="P26" i="36"/>
  <c r="AP26" i="36"/>
  <c r="AR26" i="36"/>
  <c r="BJ26" i="36"/>
  <c r="BV26" i="36" s="1"/>
  <c r="CT26" i="36" s="1"/>
  <c r="DB26" i="36" s="1"/>
  <c r="BL26" i="36"/>
  <c r="BX26" i="36"/>
  <c r="CL26" i="36"/>
  <c r="CN26" i="36"/>
  <c r="CV26" i="36"/>
  <c r="DD26" i="36" s="1"/>
  <c r="DF26" i="36" s="1"/>
  <c r="DH26" i="36" s="1"/>
  <c r="DG26" i="36"/>
  <c r="N27" i="36"/>
  <c r="P27" i="36"/>
  <c r="AP27" i="36"/>
  <c r="AR27" i="36"/>
  <c r="CV27" i="36" s="1"/>
  <c r="DD27" i="36" s="1"/>
  <c r="DF27" i="36" s="1"/>
  <c r="DH27" i="36" s="1"/>
  <c r="BJ27" i="36"/>
  <c r="BL27" i="36"/>
  <c r="BV27" i="36"/>
  <c r="BX27" i="36"/>
  <c r="CL27" i="36"/>
  <c r="CN27" i="36"/>
  <c r="CT27" i="36"/>
  <c r="DB27" i="36" s="1"/>
  <c r="DG27" i="36"/>
  <c r="N28" i="36"/>
  <c r="P28" i="36"/>
  <c r="AP28" i="36"/>
  <c r="CT28" i="36" s="1"/>
  <c r="DB28" i="36" s="1"/>
  <c r="AR28" i="36"/>
  <c r="BJ28" i="36"/>
  <c r="BL28" i="36"/>
  <c r="BX28" i="36" s="1"/>
  <c r="CV28" i="36" s="1"/>
  <c r="DD28" i="36" s="1"/>
  <c r="DF28" i="36" s="1"/>
  <c r="DH28" i="36" s="1"/>
  <c r="BV28" i="36"/>
  <c r="CL28" i="36"/>
  <c r="CN28" i="36"/>
  <c r="DG28" i="36"/>
  <c r="N29" i="36"/>
  <c r="P29" i="36"/>
  <c r="AP29" i="36"/>
  <c r="AR29" i="36"/>
  <c r="BJ29" i="36"/>
  <c r="BV29" i="36" s="1"/>
  <c r="CT29" i="36" s="1"/>
  <c r="DB29" i="36" s="1"/>
  <c r="BL29" i="36"/>
  <c r="BX29" i="36" s="1"/>
  <c r="CV29" i="36" s="1"/>
  <c r="DD29" i="36" s="1"/>
  <c r="DF29" i="36" s="1"/>
  <c r="DH29" i="36" s="1"/>
  <c r="CL29" i="36"/>
  <c r="CN29" i="36"/>
  <c r="DG29" i="36"/>
  <c r="N30" i="36"/>
  <c r="P30" i="36"/>
  <c r="AP30" i="36"/>
  <c r="AR30" i="36"/>
  <c r="BJ30" i="36"/>
  <c r="BV30" i="36" s="1"/>
  <c r="CT30" i="36" s="1"/>
  <c r="DB30" i="36" s="1"/>
  <c r="BL30" i="36"/>
  <c r="BX30" i="36"/>
  <c r="CL30" i="36"/>
  <c r="CN30" i="36"/>
  <c r="CV30" i="36"/>
  <c r="DD30" i="36" s="1"/>
  <c r="DF30" i="36" s="1"/>
  <c r="DH30" i="36" s="1"/>
  <c r="DG30" i="36"/>
  <c r="N31" i="36"/>
  <c r="P31" i="36"/>
  <c r="AP31" i="36"/>
  <c r="AR31" i="36"/>
  <c r="CV31" i="36" s="1"/>
  <c r="DD31" i="36" s="1"/>
  <c r="BJ31" i="36"/>
  <c r="BL31" i="36"/>
  <c r="BV31" i="36"/>
  <c r="BX31" i="36"/>
  <c r="CL31" i="36"/>
  <c r="CN31" i="36"/>
  <c r="CT31" i="36"/>
  <c r="DB31" i="36" s="1"/>
  <c r="N32" i="36"/>
  <c r="P32" i="36"/>
  <c r="AP32" i="36"/>
  <c r="CT32" i="36" s="1"/>
  <c r="DB32" i="36" s="1"/>
  <c r="AR32" i="36"/>
  <c r="BJ32" i="36"/>
  <c r="BL32" i="36"/>
  <c r="BX32" i="36" s="1"/>
  <c r="CV32" i="36" s="1"/>
  <c r="DD32" i="36" s="1"/>
  <c r="BV32" i="36"/>
  <c r="CL32" i="36"/>
  <c r="CN32" i="36"/>
  <c r="DF32" i="36"/>
  <c r="DH32" i="36" s="1"/>
  <c r="DG32" i="36"/>
  <c r="N33" i="36"/>
  <c r="AP33" i="36"/>
  <c r="AR33" i="36"/>
  <c r="BJ33" i="36"/>
  <c r="BV33" i="36"/>
  <c r="CL33" i="36"/>
  <c r="CN33" i="36"/>
  <c r="CV33" i="36"/>
  <c r="DD33" i="36" s="1"/>
  <c r="DF33" i="36" s="1"/>
  <c r="DH33" i="36" s="1"/>
  <c r="DG33" i="36"/>
  <c r="F34" i="36"/>
  <c r="H34" i="36"/>
  <c r="J34" i="36"/>
  <c r="N34" i="36" s="1"/>
  <c r="L34" i="36"/>
  <c r="R34" i="36"/>
  <c r="T34" i="36"/>
  <c r="T35" i="36" s="1"/>
  <c r="T36" i="36" s="1"/>
  <c r="V34" i="36"/>
  <c r="X34" i="36"/>
  <c r="Z34" i="36"/>
  <c r="AP34" i="36" s="1"/>
  <c r="CT34" i="36" s="1"/>
  <c r="AD34" i="36"/>
  <c r="AH34" i="36"/>
  <c r="AJ34" i="36"/>
  <c r="AL34" i="36"/>
  <c r="AN34" i="36"/>
  <c r="AR34" i="36" s="1"/>
  <c r="AT34" i="36"/>
  <c r="AV34" i="36"/>
  <c r="AV35" i="36" s="1"/>
  <c r="AX34" i="36"/>
  <c r="AZ34" i="36"/>
  <c r="BB34" i="36"/>
  <c r="BD34" i="36"/>
  <c r="BD35" i="36" s="1"/>
  <c r="BD36" i="36" s="1"/>
  <c r="BF34" i="36"/>
  <c r="BH34" i="36"/>
  <c r="BJ34" i="36"/>
  <c r="BV34" i="36" s="1"/>
  <c r="BN34" i="36"/>
  <c r="BP34" i="36"/>
  <c r="BR34" i="36"/>
  <c r="BT34" i="36"/>
  <c r="BT35" i="36" s="1"/>
  <c r="BT36" i="36" s="1"/>
  <c r="BZ34" i="36"/>
  <c r="CD34" i="36"/>
  <c r="CF34" i="36"/>
  <c r="CH34" i="36"/>
  <c r="CJ34" i="36"/>
  <c r="CN34" i="36" s="1"/>
  <c r="CL34" i="36"/>
  <c r="CP34" i="36"/>
  <c r="CX34" i="36"/>
  <c r="F35" i="36"/>
  <c r="H35" i="36"/>
  <c r="J35" i="36"/>
  <c r="N35" i="36"/>
  <c r="V35" i="36"/>
  <c r="AP35" i="36" s="1"/>
  <c r="X35" i="36"/>
  <c r="AR35" i="36" s="1"/>
  <c r="AB35" i="36"/>
  <c r="AF35" i="36"/>
  <c r="AJ35" i="36"/>
  <c r="AL35" i="36"/>
  <c r="AN35" i="36"/>
  <c r="AX35" i="36"/>
  <c r="AZ35" i="36"/>
  <c r="BB35" i="36"/>
  <c r="BF35" i="36"/>
  <c r="BH35" i="36"/>
  <c r="BN35" i="36"/>
  <c r="BP35" i="36"/>
  <c r="BR35" i="36"/>
  <c r="BZ35" i="36"/>
  <c r="CD35" i="36"/>
  <c r="CF35" i="36"/>
  <c r="CJ35" i="36"/>
  <c r="CN35" i="36" s="1"/>
  <c r="CX35" i="36"/>
  <c r="F36" i="36"/>
  <c r="H36" i="36"/>
  <c r="J36" i="36"/>
  <c r="N36" i="36"/>
  <c r="V36" i="36"/>
  <c r="AP36" i="36" s="1"/>
  <c r="X36" i="36"/>
  <c r="AR36" i="36" s="1"/>
  <c r="AB36" i="36"/>
  <c r="AF36" i="36"/>
  <c r="AJ36" i="36"/>
  <c r="AL36" i="36"/>
  <c r="AN36" i="36"/>
  <c r="AX36" i="36"/>
  <c r="AZ36" i="36"/>
  <c r="BB36" i="36"/>
  <c r="BF36" i="36"/>
  <c r="BH36" i="36"/>
  <c r="BN36" i="36"/>
  <c r="BP36" i="36"/>
  <c r="BR36" i="36"/>
  <c r="BZ36" i="36"/>
  <c r="CD36" i="36"/>
  <c r="CF36" i="36"/>
  <c r="CJ36" i="36"/>
  <c r="CN36" i="36" s="1"/>
  <c r="CX36" i="36"/>
  <c r="AD47" i="26"/>
  <c r="AB47" i="26"/>
  <c r="Z47" i="26"/>
  <c r="X47" i="26"/>
  <c r="V47" i="26"/>
  <c r="T47" i="26"/>
  <c r="R47" i="26"/>
  <c r="P47" i="26"/>
  <c r="N47" i="26"/>
  <c r="L47" i="26"/>
  <c r="J47" i="26"/>
  <c r="H47" i="26"/>
  <c r="AF47" i="26" s="1"/>
  <c r="AF46" i="26"/>
  <c r="AF45" i="26"/>
  <c r="AF44" i="26"/>
  <c r="AF43" i="26"/>
  <c r="AF42" i="26"/>
  <c r="AF41" i="26"/>
  <c r="AF40" i="26"/>
  <c r="AF39" i="26"/>
  <c r="AF38" i="26"/>
  <c r="AF37" i="26"/>
  <c r="AF36" i="26"/>
  <c r="AF35" i="26"/>
  <c r="AF34" i="26"/>
  <c r="AF33" i="26"/>
  <c r="AF32" i="26"/>
  <c r="AD29" i="26"/>
  <c r="AB29" i="26"/>
  <c r="Z29" i="26"/>
  <c r="X29" i="26"/>
  <c r="V29" i="26"/>
  <c r="T29" i="26"/>
  <c r="R29" i="26"/>
  <c r="P29" i="26"/>
  <c r="N29" i="26"/>
  <c r="L29" i="26"/>
  <c r="J29" i="26"/>
  <c r="H29" i="26"/>
  <c r="AF29" i="26" s="1"/>
  <c r="AF28" i="26"/>
  <c r="AF25" i="26"/>
  <c r="AF24" i="26"/>
  <c r="AF23" i="26"/>
  <c r="AD22" i="26"/>
  <c r="AB22" i="26"/>
  <c r="Z22" i="26"/>
  <c r="X22" i="26"/>
  <c r="V22" i="26"/>
  <c r="T22" i="26"/>
  <c r="R22" i="26"/>
  <c r="P22" i="26"/>
  <c r="N22" i="26"/>
  <c r="L22" i="26"/>
  <c r="J22" i="26"/>
  <c r="H22" i="26"/>
  <c r="AF22" i="26" s="1"/>
  <c r="AF21" i="26"/>
  <c r="AF20" i="26"/>
  <c r="AF19" i="26"/>
  <c r="AF18" i="26"/>
  <c r="AF15" i="26"/>
  <c r="AF14" i="26"/>
  <c r="AF13" i="26"/>
  <c r="AF12" i="26"/>
  <c r="AF11" i="26"/>
  <c r="AF10" i="26"/>
  <c r="AF9" i="26"/>
  <c r="AD8" i="26"/>
  <c r="AD16" i="26" s="1"/>
  <c r="AD26" i="26" s="1"/>
  <c r="AD30" i="26" s="1"/>
  <c r="AD48" i="26" s="1"/>
  <c r="AD49" i="26" s="1"/>
  <c r="AB8" i="26"/>
  <c r="AB16" i="26" s="1"/>
  <c r="AB26" i="26" s="1"/>
  <c r="AB30" i="26" s="1"/>
  <c r="AB48" i="26" s="1"/>
  <c r="AB49" i="26" s="1"/>
  <c r="Z8" i="26"/>
  <c r="Z16" i="26" s="1"/>
  <c r="Z26" i="26" s="1"/>
  <c r="Z30" i="26" s="1"/>
  <c r="Z48" i="26" s="1"/>
  <c r="Z49" i="26" s="1"/>
  <c r="X8" i="26"/>
  <c r="X16" i="26" s="1"/>
  <c r="X26" i="26" s="1"/>
  <c r="X30" i="26" s="1"/>
  <c r="X48" i="26" s="1"/>
  <c r="X49" i="26" s="1"/>
  <c r="V8" i="26"/>
  <c r="V16" i="26" s="1"/>
  <c r="V26" i="26" s="1"/>
  <c r="V30" i="26" s="1"/>
  <c r="V48" i="26" s="1"/>
  <c r="V49" i="26" s="1"/>
  <c r="T8" i="26"/>
  <c r="T16" i="26" s="1"/>
  <c r="T26" i="26" s="1"/>
  <c r="T30" i="26" s="1"/>
  <c r="T48" i="26" s="1"/>
  <c r="T49" i="26" s="1"/>
  <c r="R8" i="26"/>
  <c r="R16" i="26" s="1"/>
  <c r="R26" i="26" s="1"/>
  <c r="R30" i="26" s="1"/>
  <c r="R48" i="26" s="1"/>
  <c r="R49" i="26" s="1"/>
  <c r="P8" i="26"/>
  <c r="P16" i="26" s="1"/>
  <c r="P26" i="26" s="1"/>
  <c r="P30" i="26" s="1"/>
  <c r="P48" i="26" s="1"/>
  <c r="P49" i="26" s="1"/>
  <c r="N8" i="26"/>
  <c r="N16" i="26" s="1"/>
  <c r="N26" i="26" s="1"/>
  <c r="N30" i="26" s="1"/>
  <c r="N48" i="26" s="1"/>
  <c r="N49" i="26" s="1"/>
  <c r="L8" i="26"/>
  <c r="L16" i="26" s="1"/>
  <c r="L26" i="26" s="1"/>
  <c r="L30" i="26" s="1"/>
  <c r="L48" i="26" s="1"/>
  <c r="L49" i="26" s="1"/>
  <c r="J8" i="26"/>
  <c r="J16" i="26" s="1"/>
  <c r="J26" i="26" s="1"/>
  <c r="J30" i="26" s="1"/>
  <c r="J48" i="26" s="1"/>
  <c r="J49" i="26" s="1"/>
  <c r="H8" i="26"/>
  <c r="H16" i="26" s="1"/>
  <c r="AF7" i="26"/>
  <c r="AF6" i="26"/>
  <c r="BL35" i="36" l="1"/>
  <c r="BX35" i="36" s="1"/>
  <c r="AV36" i="36"/>
  <c r="BL36" i="36" s="1"/>
  <c r="BX36" i="36" s="1"/>
  <c r="DG36" i="36"/>
  <c r="DG35" i="36"/>
  <c r="CV35" i="36"/>
  <c r="BL34" i="36"/>
  <c r="BX34" i="36" s="1"/>
  <c r="CV34" i="36" s="1"/>
  <c r="P34" i="36"/>
  <c r="DD34" i="36" s="1"/>
  <c r="DF34" i="36" s="1"/>
  <c r="DH34" i="36" s="1"/>
  <c r="L35" i="36"/>
  <c r="L36" i="36" s="1"/>
  <c r="P36" i="36" s="1"/>
  <c r="DD36" i="36" s="1"/>
  <c r="DF36" i="36" s="1"/>
  <c r="DH36" i="36" s="1"/>
  <c r="R36" i="36"/>
  <c r="DB34" i="36"/>
  <c r="CT33" i="36"/>
  <c r="DB33" i="36" s="1"/>
  <c r="BJ15" i="36"/>
  <c r="BV15" i="36" s="1"/>
  <c r="AT35" i="36"/>
  <c r="CT11" i="36"/>
  <c r="DB11" i="36" s="1"/>
  <c r="CV36" i="36"/>
  <c r="DG34" i="36"/>
  <c r="DB21" i="36"/>
  <c r="DB20" i="36"/>
  <c r="DB19" i="36"/>
  <c r="DB17" i="36"/>
  <c r="CV15" i="36"/>
  <c r="DD15" i="36" s="1"/>
  <c r="DF15" i="36" s="1"/>
  <c r="DH15" i="36" s="1"/>
  <c r="CV11" i="36"/>
  <c r="DD11" i="36" s="1"/>
  <c r="DF11" i="36" s="1"/>
  <c r="DH11" i="36" s="1"/>
  <c r="DG31" i="36"/>
  <c r="DF31" i="36" s="1"/>
  <c r="DH31" i="36" s="1"/>
  <c r="DG15" i="36"/>
  <c r="AP15" i="36"/>
  <c r="CT15" i="36" s="1"/>
  <c r="DB15" i="36" s="1"/>
  <c r="AP14" i="36"/>
  <c r="CT14" i="36" s="1"/>
  <c r="DB14" i="36" s="1"/>
  <c r="DG11" i="36"/>
  <c r="DG7" i="36"/>
  <c r="DF7" i="36" s="1"/>
  <c r="DH7" i="36" s="1"/>
  <c r="BJ14" i="36"/>
  <c r="BV14" i="36" s="1"/>
  <c r="DG6" i="36"/>
  <c r="DF6" i="36" s="1"/>
  <c r="DH6" i="36" s="1"/>
  <c r="CH35" i="36"/>
  <c r="CH36" i="36" s="1"/>
  <c r="CL36" i="36" s="1"/>
  <c r="DG23" i="36"/>
  <c r="DF23" i="36" s="1"/>
  <c r="DH23" i="36" s="1"/>
  <c r="H26" i="26"/>
  <c r="AF16" i="26"/>
  <c r="AF8" i="26"/>
  <c r="S55" i="2"/>
  <c r="BJ35" i="36" l="1"/>
  <c r="BV35" i="36" s="1"/>
  <c r="AT36" i="36"/>
  <c r="BJ36" i="36" s="1"/>
  <c r="BV36" i="36" s="1"/>
  <c r="CT36" i="36" s="1"/>
  <c r="DB36" i="36" s="1"/>
  <c r="CL35" i="36"/>
  <c r="P35" i="36"/>
  <c r="DD35" i="36" s="1"/>
  <c r="DF35" i="36" s="1"/>
  <c r="DH35" i="36" s="1"/>
  <c r="AF26" i="26"/>
  <c r="H30" i="26"/>
  <c r="B34" i="2"/>
  <c r="P35" i="2"/>
  <c r="P34" i="2"/>
  <c r="B35" i="2"/>
  <c r="S39" i="2"/>
  <c r="CT35" i="36" l="1"/>
  <c r="DB35" i="36" s="1"/>
  <c r="H48" i="26"/>
  <c r="AF30" i="26"/>
  <c r="P39" i="2"/>
  <c r="B38" i="2"/>
  <c r="AF48" i="26" l="1"/>
  <c r="H49" i="26"/>
  <c r="AF49" i="26" s="1"/>
  <c r="P50" i="2"/>
  <c r="L111" i="5" l="1"/>
  <c r="J111" i="5"/>
  <c r="J109" i="5"/>
  <c r="I102" i="5" l="1"/>
  <c r="I111" i="5"/>
  <c r="C60" i="5" l="1"/>
  <c r="C15" i="5"/>
  <c r="C16" i="5"/>
  <c r="C47" i="5"/>
  <c r="P44" i="2" l="1"/>
  <c r="C25" i="6" l="1"/>
  <c r="AZ32" i="7"/>
  <c r="C4" i="6" s="1"/>
  <c r="F51" i="6"/>
  <c r="F47" i="6"/>
  <c r="I51" i="6"/>
  <c r="I47" i="6"/>
  <c r="H51" i="6"/>
  <c r="H47" i="6"/>
  <c r="G51" i="6"/>
  <c r="G47" i="6"/>
  <c r="D51" i="6"/>
  <c r="C51" i="6"/>
  <c r="D47" i="6"/>
  <c r="C47" i="6"/>
  <c r="B51" i="6"/>
  <c r="B47" i="6"/>
  <c r="C30" i="6"/>
  <c r="C29" i="6"/>
  <c r="C27" i="6"/>
  <c r="C24" i="6"/>
  <c r="C17" i="6"/>
  <c r="C7" i="6"/>
  <c r="AX49" i="7"/>
  <c r="AT49" i="7"/>
  <c r="AR49" i="7"/>
  <c r="AP49" i="7"/>
  <c r="AV49" i="7" s="1"/>
  <c r="AJ49" i="7"/>
  <c r="AH49" i="7"/>
  <c r="AL49" i="7" s="1"/>
  <c r="AF49" i="7"/>
  <c r="AB49" i="7"/>
  <c r="Z49" i="7"/>
  <c r="AD49" i="7" s="1"/>
  <c r="X49" i="7"/>
  <c r="V49" i="7"/>
  <c r="R49" i="7"/>
  <c r="P49" i="7"/>
  <c r="T49" i="7" s="1"/>
  <c r="N49" i="7"/>
  <c r="J49" i="7"/>
  <c r="H49" i="7"/>
  <c r="L49" i="7" s="1"/>
  <c r="AV48" i="7"/>
  <c r="AN48" i="7"/>
  <c r="AZ48" i="7" s="1"/>
  <c r="AL48" i="7"/>
  <c r="AD48" i="7"/>
  <c r="T48" i="7"/>
  <c r="L48" i="7"/>
  <c r="AV47" i="7"/>
  <c r="AL47" i="7"/>
  <c r="AD47" i="7"/>
  <c r="AN47" i="7" s="1"/>
  <c r="AZ47" i="7" s="1"/>
  <c r="T47" i="7"/>
  <c r="L47" i="7"/>
  <c r="AV46" i="7"/>
  <c r="AL46" i="7"/>
  <c r="AD46" i="7"/>
  <c r="AN46" i="7" s="1"/>
  <c r="AZ46" i="7" s="1"/>
  <c r="T46" i="7"/>
  <c r="L46" i="7"/>
  <c r="AV45" i="7"/>
  <c r="AL45" i="7"/>
  <c r="AN45" i="7" s="1"/>
  <c r="AZ45" i="7" s="1"/>
  <c r="AD45" i="7"/>
  <c r="T45" i="7"/>
  <c r="L45" i="7"/>
  <c r="AV44" i="7"/>
  <c r="AN44" i="7"/>
  <c r="AZ44" i="7" s="1"/>
  <c r="AL44" i="7"/>
  <c r="AD44" i="7"/>
  <c r="T44" i="7"/>
  <c r="L44" i="7"/>
  <c r="AV43" i="7"/>
  <c r="AL43" i="7"/>
  <c r="AD43" i="7"/>
  <c r="AN43" i="7" s="1"/>
  <c r="AZ43" i="7" s="1"/>
  <c r="T43" i="7"/>
  <c r="L43" i="7"/>
  <c r="AV42" i="7"/>
  <c r="AL42" i="7"/>
  <c r="AD42" i="7"/>
  <c r="AN42" i="7" s="1"/>
  <c r="AZ42" i="7" s="1"/>
  <c r="T42" i="7"/>
  <c r="L42" i="7"/>
  <c r="AV41" i="7"/>
  <c r="AL41" i="7"/>
  <c r="AN41" i="7" s="1"/>
  <c r="AZ41" i="7" s="1"/>
  <c r="AD41" i="7"/>
  <c r="T41" i="7"/>
  <c r="L41" i="7"/>
  <c r="AV40" i="7"/>
  <c r="AN40" i="7"/>
  <c r="AZ40" i="7" s="1"/>
  <c r="AL40" i="7"/>
  <c r="AD40" i="7"/>
  <c r="T40" i="7"/>
  <c r="L40" i="7"/>
  <c r="AV39" i="7"/>
  <c r="AL39" i="7"/>
  <c r="AD39" i="7"/>
  <c r="AN39" i="7" s="1"/>
  <c r="AZ39" i="7" s="1"/>
  <c r="T39" i="7"/>
  <c r="L39" i="7"/>
  <c r="AV38" i="7"/>
  <c r="AL38" i="7"/>
  <c r="AD38" i="7"/>
  <c r="AN38" i="7" s="1"/>
  <c r="AZ38" i="7" s="1"/>
  <c r="T38" i="7"/>
  <c r="L38" i="7"/>
  <c r="AV37" i="7"/>
  <c r="AL37" i="7"/>
  <c r="AN37" i="7" s="1"/>
  <c r="AZ37" i="7" s="1"/>
  <c r="AD37" i="7"/>
  <c r="T37" i="7"/>
  <c r="L37" i="7"/>
  <c r="AV36" i="7"/>
  <c r="AN36" i="7"/>
  <c r="AZ36" i="7" s="1"/>
  <c r="AL36" i="7"/>
  <c r="AD36" i="7"/>
  <c r="T36" i="7"/>
  <c r="L36" i="7"/>
  <c r="AV35" i="7"/>
  <c r="AL35" i="7"/>
  <c r="AD35" i="7"/>
  <c r="AN35" i="7" s="1"/>
  <c r="AZ35" i="7" s="1"/>
  <c r="T35" i="7"/>
  <c r="L35" i="7"/>
  <c r="AV34" i="7"/>
  <c r="AL34" i="7"/>
  <c r="AD34" i="7"/>
  <c r="AN34" i="7" s="1"/>
  <c r="AZ34" i="7" s="1"/>
  <c r="T34" i="7"/>
  <c r="L34" i="7"/>
  <c r="AX31" i="7"/>
  <c r="AV31" i="7"/>
  <c r="AT31" i="7"/>
  <c r="AR31" i="7"/>
  <c r="AP31" i="7"/>
  <c r="AJ31" i="7"/>
  <c r="AH31" i="7"/>
  <c r="AF31" i="7"/>
  <c r="AL31" i="7" s="1"/>
  <c r="AB31" i="7"/>
  <c r="AD31" i="7" s="1"/>
  <c r="AN31" i="7" s="1"/>
  <c r="Z31" i="7"/>
  <c r="X31" i="7"/>
  <c r="V31" i="7"/>
  <c r="R31" i="7"/>
  <c r="P31" i="7"/>
  <c r="T31" i="7" s="1"/>
  <c r="N31" i="7"/>
  <c r="J31" i="7"/>
  <c r="H31" i="7"/>
  <c r="L31" i="7" s="1"/>
  <c r="AV30" i="7"/>
  <c r="AL30" i="7"/>
  <c r="AD30" i="7"/>
  <c r="AN30" i="7" s="1"/>
  <c r="AZ30" i="7" s="1"/>
  <c r="T30" i="7"/>
  <c r="L30" i="7"/>
  <c r="AV27" i="7"/>
  <c r="AL27" i="7"/>
  <c r="AN27" i="7" s="1"/>
  <c r="AZ27" i="7" s="1"/>
  <c r="AD27" i="7"/>
  <c r="T27" i="7"/>
  <c r="L27" i="7"/>
  <c r="AV26" i="7"/>
  <c r="AN26" i="7"/>
  <c r="AZ26" i="7" s="1"/>
  <c r="AL26" i="7"/>
  <c r="AD26" i="7"/>
  <c r="T26" i="7"/>
  <c r="L26" i="7"/>
  <c r="AX25" i="7"/>
  <c r="AT25" i="7"/>
  <c r="AP25" i="7"/>
  <c r="AH25" i="7"/>
  <c r="Z25" i="7"/>
  <c r="V25" i="7"/>
  <c r="R25" i="7"/>
  <c r="N25" i="7"/>
  <c r="J25" i="7"/>
  <c r="AX24" i="7"/>
  <c r="AT24" i="7"/>
  <c r="AR24" i="7"/>
  <c r="AR25" i="7" s="1"/>
  <c r="AP24" i="7"/>
  <c r="AJ24" i="7"/>
  <c r="AJ25" i="7" s="1"/>
  <c r="AH24" i="7"/>
  <c r="AF24" i="7"/>
  <c r="AF25" i="7" s="1"/>
  <c r="AL25" i="7" s="1"/>
  <c r="AB24" i="7"/>
  <c r="AB25" i="7" s="1"/>
  <c r="AD25" i="7" s="1"/>
  <c r="Z24" i="7"/>
  <c r="AD24" i="7" s="1"/>
  <c r="X24" i="7"/>
  <c r="X25" i="7" s="1"/>
  <c r="V24" i="7"/>
  <c r="T24" i="7"/>
  <c r="R24" i="7"/>
  <c r="P24" i="7"/>
  <c r="P25" i="7" s="1"/>
  <c r="T25" i="7" s="1"/>
  <c r="N24" i="7"/>
  <c r="L24" i="7"/>
  <c r="J24" i="7"/>
  <c r="H24" i="7"/>
  <c r="H25" i="7" s="1"/>
  <c r="L25" i="7" s="1"/>
  <c r="AV23" i="7"/>
  <c r="AL23" i="7"/>
  <c r="AN23" i="7" s="1"/>
  <c r="AZ23" i="7" s="1"/>
  <c r="AD23" i="7"/>
  <c r="T23" i="7"/>
  <c r="L23" i="7"/>
  <c r="AV22" i="7"/>
  <c r="AN22" i="7"/>
  <c r="AZ22" i="7" s="1"/>
  <c r="AL22" i="7"/>
  <c r="AD22" i="7"/>
  <c r="T22" i="7"/>
  <c r="L22" i="7"/>
  <c r="AV21" i="7"/>
  <c r="AL21" i="7"/>
  <c r="AD21" i="7"/>
  <c r="AN21" i="7" s="1"/>
  <c r="AZ21" i="7" s="1"/>
  <c r="T21" i="7"/>
  <c r="L21" i="7"/>
  <c r="AV20" i="7"/>
  <c r="AL20" i="7"/>
  <c r="AD20" i="7"/>
  <c r="AN20" i="7" s="1"/>
  <c r="AZ20" i="7" s="1"/>
  <c r="T20" i="7"/>
  <c r="L20" i="7"/>
  <c r="AV19" i="7"/>
  <c r="AL19" i="7"/>
  <c r="AN19" i="7" s="1"/>
  <c r="AZ19" i="7" s="1"/>
  <c r="AD19" i="7"/>
  <c r="T19" i="7"/>
  <c r="L19" i="7"/>
  <c r="AV17" i="7"/>
  <c r="AN17" i="7"/>
  <c r="AZ17" i="7" s="1"/>
  <c r="AL17" i="7"/>
  <c r="AD17" i="7"/>
  <c r="T17" i="7"/>
  <c r="L17" i="7"/>
  <c r="AV16" i="7"/>
  <c r="AL16" i="7"/>
  <c r="AD16" i="7"/>
  <c r="AN16" i="7" s="1"/>
  <c r="AZ16" i="7" s="1"/>
  <c r="T16" i="7"/>
  <c r="L16" i="7"/>
  <c r="AX14" i="7"/>
  <c r="AT14" i="7"/>
  <c r="AR14" i="7"/>
  <c r="AV14" i="7" s="1"/>
  <c r="AP14" i="7"/>
  <c r="AJ14" i="7"/>
  <c r="AH14" i="7"/>
  <c r="AF14" i="7"/>
  <c r="AL14" i="7" s="1"/>
  <c r="AB14" i="7"/>
  <c r="Z14" i="7"/>
  <c r="AD14" i="7" s="1"/>
  <c r="X14" i="7"/>
  <c r="V14" i="7"/>
  <c r="T14" i="7"/>
  <c r="R14" i="7"/>
  <c r="P14" i="7"/>
  <c r="N14" i="7"/>
  <c r="L14" i="7"/>
  <c r="J14" i="7"/>
  <c r="H14" i="7"/>
  <c r="AV13" i="7"/>
  <c r="AL13" i="7"/>
  <c r="AN13" i="7" s="1"/>
  <c r="AZ13" i="7" s="1"/>
  <c r="AD13" i="7"/>
  <c r="T13" i="7"/>
  <c r="L13" i="7"/>
  <c r="AV12" i="7"/>
  <c r="AN12" i="7"/>
  <c r="AZ12" i="7" s="1"/>
  <c r="AL12" i="7"/>
  <c r="AD12" i="7"/>
  <c r="T12" i="7"/>
  <c r="L12" i="7"/>
  <c r="AV11" i="7"/>
  <c r="AL11" i="7"/>
  <c r="AD11" i="7"/>
  <c r="AN11" i="7" s="1"/>
  <c r="AZ11" i="7" s="1"/>
  <c r="T11" i="7"/>
  <c r="L11" i="7"/>
  <c r="AX9" i="7"/>
  <c r="AX28" i="7" s="1"/>
  <c r="AX32" i="7" s="1"/>
  <c r="AX50" i="7" s="1"/>
  <c r="AX51" i="7" s="1"/>
  <c r="AT9" i="7"/>
  <c r="AT28" i="7" s="1"/>
  <c r="AT32" i="7" s="1"/>
  <c r="AT50" i="7" s="1"/>
  <c r="AT51" i="7" s="1"/>
  <c r="AR9" i="7"/>
  <c r="AV9" i="7" s="1"/>
  <c r="AP9" i="7"/>
  <c r="AP28" i="7" s="1"/>
  <c r="AJ9" i="7"/>
  <c r="AJ28" i="7" s="1"/>
  <c r="AJ32" i="7" s="1"/>
  <c r="AJ50" i="7" s="1"/>
  <c r="AJ51" i="7" s="1"/>
  <c r="AH9" i="7"/>
  <c r="AH28" i="7" s="1"/>
  <c r="AH32" i="7" s="1"/>
  <c r="AH50" i="7" s="1"/>
  <c r="AH51" i="7" s="1"/>
  <c r="AF9" i="7"/>
  <c r="AB9" i="7"/>
  <c r="AB28" i="7" s="1"/>
  <c r="AB32" i="7" s="1"/>
  <c r="AB50" i="7" s="1"/>
  <c r="AB51" i="7" s="1"/>
  <c r="Z9" i="7"/>
  <c r="Z28" i="7" s="1"/>
  <c r="X9" i="7"/>
  <c r="X28" i="7" s="1"/>
  <c r="X32" i="7" s="1"/>
  <c r="X50" i="7" s="1"/>
  <c r="X51" i="7" s="1"/>
  <c r="V9" i="7"/>
  <c r="V28" i="7" s="1"/>
  <c r="V32" i="7" s="1"/>
  <c r="V50" i="7" s="1"/>
  <c r="V51" i="7" s="1"/>
  <c r="T9" i="7"/>
  <c r="R9" i="7"/>
  <c r="R28" i="7" s="1"/>
  <c r="R32" i="7" s="1"/>
  <c r="R50" i="7" s="1"/>
  <c r="R51" i="7" s="1"/>
  <c r="P9" i="7"/>
  <c r="P28" i="7" s="1"/>
  <c r="N9" i="7"/>
  <c r="N28" i="7" s="1"/>
  <c r="N32" i="7" s="1"/>
  <c r="N50" i="7" s="1"/>
  <c r="N51" i="7" s="1"/>
  <c r="L9" i="7"/>
  <c r="J9" i="7"/>
  <c r="J28" i="7" s="1"/>
  <c r="J32" i="7" s="1"/>
  <c r="J50" i="7" s="1"/>
  <c r="J51" i="7" s="1"/>
  <c r="H9" i="7"/>
  <c r="H28" i="7" s="1"/>
  <c r="AV8" i="7"/>
  <c r="AL8" i="7"/>
  <c r="AN8" i="7" s="1"/>
  <c r="AZ8" i="7" s="1"/>
  <c r="AD8" i="7"/>
  <c r="T8" i="7"/>
  <c r="L8" i="7"/>
  <c r="AV7" i="7"/>
  <c r="AN7" i="7"/>
  <c r="AZ7" i="7" s="1"/>
  <c r="AL7" i="7"/>
  <c r="AD7" i="7"/>
  <c r="T7" i="7"/>
  <c r="L7" i="7"/>
  <c r="AV6" i="7"/>
  <c r="AL6" i="7"/>
  <c r="AD6" i="7"/>
  <c r="AN6" i="7" s="1"/>
  <c r="AZ6" i="7" s="1"/>
  <c r="T6" i="7"/>
  <c r="L6" i="7"/>
  <c r="AD81" i="19"/>
  <c r="AD83" i="19" s="1"/>
  <c r="AB81" i="19"/>
  <c r="AB83" i="19" s="1"/>
  <c r="Z81" i="19"/>
  <c r="Z83" i="19" s="1"/>
  <c r="X81" i="19"/>
  <c r="X83" i="19" s="1"/>
  <c r="V81" i="19"/>
  <c r="V83" i="19" s="1"/>
  <c r="T81" i="19"/>
  <c r="T83" i="19" s="1"/>
  <c r="R81" i="19"/>
  <c r="R83" i="19" s="1"/>
  <c r="P81" i="19"/>
  <c r="P83" i="19" s="1"/>
  <c r="N81" i="19"/>
  <c r="N83" i="19" s="1"/>
  <c r="L81" i="19"/>
  <c r="L83" i="19" s="1"/>
  <c r="J81" i="19"/>
  <c r="J83" i="19" s="1"/>
  <c r="H81" i="19"/>
  <c r="H83" i="19" s="1"/>
  <c r="AD73" i="19"/>
  <c r="AB73" i="19"/>
  <c r="Z73" i="19"/>
  <c r="X73" i="19"/>
  <c r="V73" i="19"/>
  <c r="T73" i="19"/>
  <c r="R73" i="19"/>
  <c r="P73" i="19"/>
  <c r="N73" i="19"/>
  <c r="L73" i="19"/>
  <c r="J73" i="19"/>
  <c r="H73" i="19"/>
  <c r="AD64" i="19"/>
  <c r="AB64" i="19"/>
  <c r="Z64" i="19"/>
  <c r="X64" i="19"/>
  <c r="V64" i="19"/>
  <c r="T64" i="19"/>
  <c r="R64" i="19"/>
  <c r="P64" i="19"/>
  <c r="N64" i="19"/>
  <c r="L64" i="19"/>
  <c r="J64" i="19"/>
  <c r="H64" i="19"/>
  <c r="AD60" i="19"/>
  <c r="AD69" i="19" s="1"/>
  <c r="AB60" i="19"/>
  <c r="AB69" i="19" s="1"/>
  <c r="Z60" i="19"/>
  <c r="Z69" i="19" s="1"/>
  <c r="X60" i="19"/>
  <c r="X69" i="19" s="1"/>
  <c r="V60" i="19"/>
  <c r="V69" i="19" s="1"/>
  <c r="T60" i="19"/>
  <c r="T69" i="19" s="1"/>
  <c r="R60" i="19"/>
  <c r="R69" i="19" s="1"/>
  <c r="P60" i="19"/>
  <c r="P69" i="19" s="1"/>
  <c r="N60" i="19"/>
  <c r="N69" i="19" s="1"/>
  <c r="L60" i="19"/>
  <c r="L69" i="19" s="1"/>
  <c r="J60" i="19"/>
  <c r="J69" i="19" s="1"/>
  <c r="H60" i="19"/>
  <c r="H69" i="19" s="1"/>
  <c r="AD51" i="19"/>
  <c r="AD52" i="19" s="1"/>
  <c r="AD53" i="19" s="1"/>
  <c r="AB51" i="19"/>
  <c r="AB52" i="19" s="1"/>
  <c r="AB53" i="19" s="1"/>
  <c r="Z51" i="19"/>
  <c r="Z52" i="19" s="1"/>
  <c r="Z53" i="19" s="1"/>
  <c r="X51" i="19"/>
  <c r="X52" i="19" s="1"/>
  <c r="X53" i="19" s="1"/>
  <c r="V51" i="19"/>
  <c r="V52" i="19" s="1"/>
  <c r="V53" i="19" s="1"/>
  <c r="T51" i="19"/>
  <c r="T52" i="19" s="1"/>
  <c r="T53" i="19" s="1"/>
  <c r="R51" i="19"/>
  <c r="R52" i="19" s="1"/>
  <c r="R53" i="19" s="1"/>
  <c r="P51" i="19"/>
  <c r="P52" i="19" s="1"/>
  <c r="P53" i="19" s="1"/>
  <c r="N51" i="19"/>
  <c r="N52" i="19" s="1"/>
  <c r="N53" i="19" s="1"/>
  <c r="L51" i="19"/>
  <c r="L52" i="19" s="1"/>
  <c r="L53" i="19" s="1"/>
  <c r="J51" i="19"/>
  <c r="J52" i="19" s="1"/>
  <c r="J53" i="19" s="1"/>
  <c r="H51" i="19"/>
  <c r="H52" i="19" s="1"/>
  <c r="H53" i="19" s="1"/>
  <c r="AD43" i="19"/>
  <c r="AD70" i="19" s="1"/>
  <c r="AD74" i="19" s="1"/>
  <c r="AD84" i="19" s="1"/>
  <c r="AB43" i="19"/>
  <c r="AB70" i="19" s="1"/>
  <c r="AB74" i="19" s="1"/>
  <c r="AB84" i="19" s="1"/>
  <c r="Z43" i="19"/>
  <c r="Z70" i="19" s="1"/>
  <c r="Z74" i="19" s="1"/>
  <c r="Z84" i="19" s="1"/>
  <c r="X43" i="19"/>
  <c r="X70" i="19" s="1"/>
  <c r="X74" i="19" s="1"/>
  <c r="X84" i="19" s="1"/>
  <c r="V43" i="19"/>
  <c r="V70" i="19" s="1"/>
  <c r="V74" i="19" s="1"/>
  <c r="V84" i="19" s="1"/>
  <c r="T43" i="19"/>
  <c r="T70" i="19" s="1"/>
  <c r="T74" i="19" s="1"/>
  <c r="T84" i="19" s="1"/>
  <c r="R43" i="19"/>
  <c r="R70" i="19" s="1"/>
  <c r="R74" i="19" s="1"/>
  <c r="R84" i="19" s="1"/>
  <c r="P43" i="19"/>
  <c r="P70" i="19" s="1"/>
  <c r="P74" i="19" s="1"/>
  <c r="P84" i="19" s="1"/>
  <c r="N43" i="19"/>
  <c r="N70" i="19" s="1"/>
  <c r="N74" i="19" s="1"/>
  <c r="N84" i="19" s="1"/>
  <c r="L43" i="19"/>
  <c r="L70" i="19" s="1"/>
  <c r="L74" i="19" s="1"/>
  <c r="L84" i="19" s="1"/>
  <c r="J43" i="19"/>
  <c r="J70" i="19" s="1"/>
  <c r="J74" i="19" s="1"/>
  <c r="J84" i="19" s="1"/>
  <c r="H43" i="19"/>
  <c r="H70" i="19" s="1"/>
  <c r="H74" i="19" s="1"/>
  <c r="H84" i="19" s="1"/>
  <c r="AD36" i="19"/>
  <c r="AB36" i="19"/>
  <c r="Z36" i="19"/>
  <c r="X36" i="19"/>
  <c r="V36" i="19"/>
  <c r="T36" i="19"/>
  <c r="R36" i="19"/>
  <c r="P36" i="19"/>
  <c r="N36" i="19"/>
  <c r="L36" i="19"/>
  <c r="J36" i="19"/>
  <c r="H36" i="19"/>
  <c r="AD33" i="19"/>
  <c r="AB33" i="19"/>
  <c r="Z33" i="19"/>
  <c r="X33" i="19"/>
  <c r="V33" i="19"/>
  <c r="T33" i="19"/>
  <c r="R33" i="19"/>
  <c r="P33" i="19"/>
  <c r="N33" i="19"/>
  <c r="L33" i="19"/>
  <c r="J33" i="19"/>
  <c r="H33" i="19"/>
  <c r="AD24" i="19"/>
  <c r="AD27" i="19" s="1"/>
  <c r="AB24" i="19"/>
  <c r="AB27" i="19" s="1"/>
  <c r="Z24" i="19"/>
  <c r="Z27" i="19" s="1"/>
  <c r="X24" i="19"/>
  <c r="X27" i="19" s="1"/>
  <c r="V24" i="19"/>
  <c r="V27" i="19" s="1"/>
  <c r="T24" i="19"/>
  <c r="T27" i="19" s="1"/>
  <c r="R24" i="19"/>
  <c r="R27" i="19" s="1"/>
  <c r="P24" i="19"/>
  <c r="P27" i="19" s="1"/>
  <c r="N24" i="19"/>
  <c r="N27" i="19" s="1"/>
  <c r="L24" i="19"/>
  <c r="L27" i="19" s="1"/>
  <c r="J24" i="19"/>
  <c r="J27" i="19" s="1"/>
  <c r="H24" i="19"/>
  <c r="H27" i="19" s="1"/>
  <c r="AD16" i="19"/>
  <c r="AB16" i="19"/>
  <c r="Z16" i="19"/>
  <c r="X16" i="19"/>
  <c r="V16" i="19"/>
  <c r="T16" i="19"/>
  <c r="R16" i="19"/>
  <c r="P16" i="19"/>
  <c r="N16" i="19"/>
  <c r="L16" i="19"/>
  <c r="J16" i="19"/>
  <c r="H16" i="19"/>
  <c r="AD11" i="19"/>
  <c r="AD12" i="19" s="1"/>
  <c r="AD13" i="19" s="1"/>
  <c r="AD28" i="19" s="1"/>
  <c r="AD37" i="19" s="1"/>
  <c r="AB11" i="19"/>
  <c r="AB12" i="19" s="1"/>
  <c r="AB13" i="19" s="1"/>
  <c r="AB28" i="19" s="1"/>
  <c r="AB37" i="19" s="1"/>
  <c r="Z11" i="19"/>
  <c r="Z12" i="19" s="1"/>
  <c r="Z13" i="19" s="1"/>
  <c r="Z28" i="19" s="1"/>
  <c r="Z37" i="19" s="1"/>
  <c r="X11" i="19"/>
  <c r="X12" i="19" s="1"/>
  <c r="X13" i="19" s="1"/>
  <c r="X28" i="19" s="1"/>
  <c r="X37" i="19" s="1"/>
  <c r="V11" i="19"/>
  <c r="V12" i="19" s="1"/>
  <c r="V13" i="19" s="1"/>
  <c r="V28" i="19" s="1"/>
  <c r="V37" i="19" s="1"/>
  <c r="T11" i="19"/>
  <c r="T12" i="19" s="1"/>
  <c r="T13" i="19" s="1"/>
  <c r="T28" i="19" s="1"/>
  <c r="T37" i="19" s="1"/>
  <c r="R11" i="19"/>
  <c r="R12" i="19" s="1"/>
  <c r="R13" i="19" s="1"/>
  <c r="R28" i="19" s="1"/>
  <c r="R37" i="19" s="1"/>
  <c r="P11" i="19"/>
  <c r="P12" i="19" s="1"/>
  <c r="P13" i="19" s="1"/>
  <c r="P28" i="19" s="1"/>
  <c r="P37" i="19" s="1"/>
  <c r="N11" i="19"/>
  <c r="N12" i="19" s="1"/>
  <c r="N13" i="19" s="1"/>
  <c r="N28" i="19" s="1"/>
  <c r="N37" i="19" s="1"/>
  <c r="L11" i="19"/>
  <c r="L12" i="19" s="1"/>
  <c r="L13" i="19" s="1"/>
  <c r="L28" i="19" s="1"/>
  <c r="L37" i="19" s="1"/>
  <c r="J11" i="19"/>
  <c r="J12" i="19" s="1"/>
  <c r="J13" i="19" s="1"/>
  <c r="J28" i="19" s="1"/>
  <c r="J37" i="19" s="1"/>
  <c r="H11" i="19"/>
  <c r="H12" i="19" s="1"/>
  <c r="H13" i="19" s="1"/>
  <c r="H28" i="19" s="1"/>
  <c r="H37" i="19" s="1"/>
  <c r="AD56" i="23"/>
  <c r="AB56" i="23"/>
  <c r="Z56" i="23"/>
  <c r="X56" i="23"/>
  <c r="V56" i="23"/>
  <c r="T56" i="23"/>
  <c r="R56" i="23"/>
  <c r="P56" i="23"/>
  <c r="N56" i="23"/>
  <c r="L56" i="23"/>
  <c r="J56" i="23"/>
  <c r="H56" i="23"/>
  <c r="AF56" i="23" s="1"/>
  <c r="AF55" i="23"/>
  <c r="AF54" i="23"/>
  <c r="AF53" i="23"/>
  <c r="AF52" i="23"/>
  <c r="AF51" i="23"/>
  <c r="AF50" i="23"/>
  <c r="AF49" i="23"/>
  <c r="AF48" i="23"/>
  <c r="AF47" i="23"/>
  <c r="AF46" i="23"/>
  <c r="AF45" i="23"/>
  <c r="AF44" i="23"/>
  <c r="AF43" i="23"/>
  <c r="AF42" i="23"/>
  <c r="AF41" i="23"/>
  <c r="AF40" i="23"/>
  <c r="AF39" i="23"/>
  <c r="AF38" i="23"/>
  <c r="AD35" i="23"/>
  <c r="AB35" i="23"/>
  <c r="Z35" i="23"/>
  <c r="X35" i="23"/>
  <c r="V35" i="23"/>
  <c r="T35" i="23"/>
  <c r="R35" i="23"/>
  <c r="P35" i="23"/>
  <c r="N35" i="23"/>
  <c r="L35" i="23"/>
  <c r="J35" i="23"/>
  <c r="H35" i="23"/>
  <c r="AF35" i="23" s="1"/>
  <c r="AF34" i="23"/>
  <c r="AF31" i="23"/>
  <c r="AF30" i="23"/>
  <c r="X29" i="23"/>
  <c r="P29" i="23"/>
  <c r="H29" i="23"/>
  <c r="AF29" i="23" s="1"/>
  <c r="AD28" i="23"/>
  <c r="AD29" i="23" s="1"/>
  <c r="AB28" i="23"/>
  <c r="AB29" i="23" s="1"/>
  <c r="Z28" i="23"/>
  <c r="Z29" i="23" s="1"/>
  <c r="Z32" i="23" s="1"/>
  <c r="Z36" i="23" s="1"/>
  <c r="Z57" i="23" s="1"/>
  <c r="Z58" i="23" s="1"/>
  <c r="X28" i="23"/>
  <c r="V28" i="23"/>
  <c r="V29" i="23" s="1"/>
  <c r="T28" i="23"/>
  <c r="T29" i="23" s="1"/>
  <c r="R28" i="23"/>
  <c r="R29" i="23" s="1"/>
  <c r="R32" i="23" s="1"/>
  <c r="R36" i="23" s="1"/>
  <c r="R57" i="23" s="1"/>
  <c r="R58" i="23" s="1"/>
  <c r="P28" i="23"/>
  <c r="N28" i="23"/>
  <c r="N29" i="23" s="1"/>
  <c r="L28" i="23"/>
  <c r="L29" i="23" s="1"/>
  <c r="J28" i="23"/>
  <c r="J29" i="23" s="1"/>
  <c r="J32" i="23" s="1"/>
  <c r="J36" i="23" s="1"/>
  <c r="J57" i="23" s="1"/>
  <c r="J58" i="23" s="1"/>
  <c r="H28" i="23"/>
  <c r="AF28" i="23" s="1"/>
  <c r="AF27" i="23"/>
  <c r="AF26" i="23"/>
  <c r="AF25" i="23"/>
  <c r="AF24" i="23"/>
  <c r="AF23" i="23"/>
  <c r="AF21" i="23"/>
  <c r="AF20" i="23"/>
  <c r="AF19" i="23"/>
  <c r="AF18" i="23"/>
  <c r="AF17" i="23"/>
  <c r="AD15" i="23"/>
  <c r="AB15" i="23"/>
  <c r="Z15" i="23"/>
  <c r="X15" i="23"/>
  <c r="V15" i="23"/>
  <c r="T15" i="23"/>
  <c r="R15" i="23"/>
  <c r="P15" i="23"/>
  <c r="N15" i="23"/>
  <c r="L15" i="23"/>
  <c r="J15" i="23"/>
  <c r="H15" i="23"/>
  <c r="AF15" i="23" s="1"/>
  <c r="AF14" i="23"/>
  <c r="AF13" i="23"/>
  <c r="AF12" i="23"/>
  <c r="AF11" i="23"/>
  <c r="AF10" i="23"/>
  <c r="AD8" i="23"/>
  <c r="AD32" i="23" s="1"/>
  <c r="AD36" i="23" s="1"/>
  <c r="AD57" i="23" s="1"/>
  <c r="AD58" i="23" s="1"/>
  <c r="AB8" i="23"/>
  <c r="AB32" i="23" s="1"/>
  <c r="AB36" i="23" s="1"/>
  <c r="AB57" i="23" s="1"/>
  <c r="AB58" i="23" s="1"/>
  <c r="Z8" i="23"/>
  <c r="X8" i="23"/>
  <c r="X32" i="23" s="1"/>
  <c r="X36" i="23" s="1"/>
  <c r="X57" i="23" s="1"/>
  <c r="X58" i="23" s="1"/>
  <c r="V8" i="23"/>
  <c r="V32" i="23" s="1"/>
  <c r="V36" i="23" s="1"/>
  <c r="V57" i="23" s="1"/>
  <c r="V58" i="23" s="1"/>
  <c r="T8" i="23"/>
  <c r="T32" i="23" s="1"/>
  <c r="T36" i="23" s="1"/>
  <c r="T57" i="23" s="1"/>
  <c r="T58" i="23" s="1"/>
  <c r="R8" i="23"/>
  <c r="P8" i="23"/>
  <c r="P32" i="23" s="1"/>
  <c r="P36" i="23" s="1"/>
  <c r="P57" i="23" s="1"/>
  <c r="P58" i="23" s="1"/>
  <c r="N8" i="23"/>
  <c r="N32" i="23" s="1"/>
  <c r="N36" i="23" s="1"/>
  <c r="N57" i="23" s="1"/>
  <c r="N58" i="23" s="1"/>
  <c r="L8" i="23"/>
  <c r="L32" i="23" s="1"/>
  <c r="L36" i="23" s="1"/>
  <c r="L57" i="23" s="1"/>
  <c r="L58" i="23" s="1"/>
  <c r="J8" i="23"/>
  <c r="H8" i="23"/>
  <c r="H32" i="23" s="1"/>
  <c r="AF7" i="23"/>
  <c r="AF6" i="23"/>
  <c r="AF5" i="23"/>
  <c r="AD28" i="7" l="1"/>
  <c r="Z32" i="7"/>
  <c r="AV25" i="7"/>
  <c r="AV28" i="7"/>
  <c r="AP32" i="7"/>
  <c r="H32" i="7"/>
  <c r="L28" i="7"/>
  <c r="P32" i="7"/>
  <c r="T28" i="7"/>
  <c r="AZ31" i="7"/>
  <c r="AF28" i="7"/>
  <c r="AN14" i="7"/>
  <c r="AZ14" i="7" s="1"/>
  <c r="AN25" i="7"/>
  <c r="AN49" i="7"/>
  <c r="AZ49" i="7" s="1"/>
  <c r="AD9" i="7"/>
  <c r="AN9" i="7" s="1"/>
  <c r="AZ9" i="7" s="1"/>
  <c r="AL9" i="7"/>
  <c r="AL24" i="7"/>
  <c r="AN24" i="7" s="1"/>
  <c r="AZ24" i="7" s="1"/>
  <c r="AR28" i="7"/>
  <c r="AR32" i="7" s="1"/>
  <c r="AR50" i="7" s="1"/>
  <c r="AR51" i="7" s="1"/>
  <c r="AV24" i="7"/>
  <c r="AF32" i="23"/>
  <c r="H36" i="23"/>
  <c r="AF8" i="23"/>
  <c r="L39" i="2"/>
  <c r="AF32" i="7" l="1"/>
  <c r="AL28" i="7"/>
  <c r="H50" i="7"/>
  <c r="L32" i="7"/>
  <c r="AZ25" i="7"/>
  <c r="Z50" i="7"/>
  <c r="AD32" i="7"/>
  <c r="P50" i="7"/>
  <c r="T32" i="7"/>
  <c r="AP50" i="7"/>
  <c r="AV32" i="7"/>
  <c r="AN28" i="7"/>
  <c r="AZ28" i="7" s="1"/>
  <c r="H57" i="23"/>
  <c r="AF36" i="23"/>
  <c r="I16" i="2"/>
  <c r="C83" i="5"/>
  <c r="I20" i="2" s="1"/>
  <c r="C77" i="5"/>
  <c r="C75" i="5"/>
  <c r="H107" i="5"/>
  <c r="I108" i="5"/>
  <c r="J108" i="5"/>
  <c r="K108" i="5"/>
  <c r="C82" i="5"/>
  <c r="I19" i="2" s="1"/>
  <c r="C81" i="5"/>
  <c r="I18" i="2" s="1"/>
  <c r="C79" i="5"/>
  <c r="C80" i="5"/>
  <c r="H51" i="7" l="1"/>
  <c r="L51" i="7" s="1"/>
  <c r="L50" i="7"/>
  <c r="AP51" i="7"/>
  <c r="AV51" i="7" s="1"/>
  <c r="AV50" i="7"/>
  <c r="Z51" i="7"/>
  <c r="AD51" i="7" s="1"/>
  <c r="AD50" i="7"/>
  <c r="P51" i="7"/>
  <c r="T51" i="7" s="1"/>
  <c r="T50" i="7"/>
  <c r="AF50" i="7"/>
  <c r="AL32" i="7"/>
  <c r="AN32" i="7" s="1"/>
  <c r="H58" i="23"/>
  <c r="AF58" i="23" s="1"/>
  <c r="AF57" i="23"/>
  <c r="AF51" i="7" l="1"/>
  <c r="AL51" i="7" s="1"/>
  <c r="AL50" i="7"/>
  <c r="AN50" i="7"/>
  <c r="AZ50" i="7" s="1"/>
  <c r="AN51" i="7"/>
  <c r="AZ51" i="7" s="1"/>
  <c r="B25" i="6" l="1"/>
  <c r="P5" i="2" l="1"/>
  <c r="I36" i="2" l="1"/>
  <c r="M36" i="2" s="1"/>
  <c r="E46" i="2"/>
  <c r="B19" i="2" l="1"/>
  <c r="P61" i="2" s="1"/>
  <c r="B17" i="2"/>
  <c r="I44" i="2" l="1"/>
  <c r="P59" i="2"/>
  <c r="B17" i="6"/>
  <c r="I54" i="2" l="1"/>
  <c r="I53" i="2"/>
  <c r="I17" i="2"/>
  <c r="L17" i="2"/>
  <c r="L16" i="2"/>
  <c r="J107" i="5"/>
  <c r="M101" i="5"/>
  <c r="B71" i="5"/>
  <c r="B57" i="5" l="1"/>
  <c r="B55" i="5"/>
  <c r="K102" i="5" l="1"/>
  <c r="L102" i="5"/>
  <c r="H111" i="5"/>
  <c r="P7" i="2" l="1"/>
  <c r="P4" i="2" l="1"/>
  <c r="E26" i="6" l="1"/>
  <c r="C28" i="6"/>
  <c r="E28" i="6" s="1"/>
  <c r="E27" i="6"/>
  <c r="E48" i="6"/>
  <c r="E49" i="6" l="1"/>
  <c r="E47" i="6"/>
  <c r="J47" i="6" l="1"/>
  <c r="K47" i="6" s="1"/>
  <c r="J51" i="6"/>
  <c r="J49" i="6"/>
  <c r="K49" i="6" s="1"/>
  <c r="L21" i="2"/>
  <c r="M20" i="2"/>
  <c r="P51" i="2" l="1"/>
  <c r="I35" i="2"/>
  <c r="P26" i="2"/>
  <c r="T26" i="2" s="1"/>
  <c r="M19" i="2"/>
  <c r="I21" i="2"/>
  <c r="M21" i="2" s="1"/>
  <c r="P25" i="2" l="1"/>
  <c r="T25" i="2" s="1"/>
  <c r="M18" i="2"/>
  <c r="E45" i="5" l="1"/>
  <c r="K110" i="5" l="1"/>
  <c r="L110" i="5"/>
  <c r="L108" i="5"/>
  <c r="L95" i="5"/>
  <c r="K95" i="5"/>
  <c r="E95" i="5"/>
  <c r="H100" i="5"/>
  <c r="M92" i="5"/>
  <c r="M93" i="5"/>
  <c r="M91" i="5"/>
  <c r="M100" i="5" l="1"/>
  <c r="H108" i="5"/>
  <c r="I34" i="2"/>
  <c r="I37" i="2" s="1"/>
  <c r="M99" i="5"/>
  <c r="M107" i="5" s="1"/>
  <c r="L107" i="5"/>
  <c r="L109" i="5"/>
  <c r="K107" i="5"/>
  <c r="K111" i="5"/>
  <c r="K109" i="5"/>
  <c r="C11" i="5" l="1"/>
  <c r="B60" i="5"/>
  <c r="C50" i="5"/>
  <c r="S12" i="2"/>
  <c r="I39" i="2" s="1"/>
  <c r="S51" i="2" l="1"/>
  <c r="D34" i="2"/>
  <c r="S35" i="2"/>
  <c r="P36" i="2"/>
  <c r="E30" i="6"/>
  <c r="E29" i="6"/>
  <c r="D28" i="6"/>
  <c r="B46" i="2"/>
  <c r="I45" i="2" s="1"/>
  <c r="E34" i="2" l="1"/>
  <c r="S34" i="2" s="1"/>
  <c r="S9" i="2"/>
  <c r="S23" i="2"/>
  <c r="S22" i="2"/>
  <c r="S27" i="2" l="1"/>
  <c r="S50" i="2"/>
  <c r="D33" i="5" l="1"/>
  <c r="D34" i="5"/>
  <c r="E33" i="5"/>
  <c r="E34" i="5"/>
  <c r="D25" i="5"/>
  <c r="D26" i="5"/>
  <c r="D27" i="5"/>
  <c r="E24" i="5"/>
  <c r="E25" i="5"/>
  <c r="D24" i="5"/>
  <c r="E26" i="5"/>
  <c r="E27" i="5"/>
  <c r="D28" i="5"/>
  <c r="E28" i="5" l="1"/>
  <c r="E39" i="6" l="1"/>
  <c r="E35" i="5" l="1"/>
  <c r="E32" i="5"/>
  <c r="E31" i="5"/>
  <c r="C29" i="5" l="1"/>
  <c r="G89" i="6" l="1"/>
  <c r="G82" i="6"/>
  <c r="G88" i="6" s="1"/>
  <c r="D59" i="6"/>
  <c r="C59" i="6"/>
  <c r="H57" i="6"/>
  <c r="G57" i="6"/>
  <c r="C57" i="6"/>
  <c r="I56" i="6"/>
  <c r="G55" i="6"/>
  <c r="C55" i="6"/>
  <c r="D67" i="6"/>
  <c r="C67" i="6"/>
  <c r="B59" i="6"/>
  <c r="H65" i="6"/>
  <c r="G65" i="6"/>
  <c r="F57" i="6"/>
  <c r="B65" i="6"/>
  <c r="I64" i="6"/>
  <c r="H56" i="6"/>
  <c r="F64" i="6"/>
  <c r="D56" i="6"/>
  <c r="B64" i="6"/>
  <c r="H63" i="6"/>
  <c r="G63" i="6"/>
  <c r="D63" i="6"/>
  <c r="C63" i="6"/>
  <c r="B55" i="6"/>
  <c r="H67" i="6"/>
  <c r="F59" i="6"/>
  <c r="J41" i="6"/>
  <c r="J40" i="6"/>
  <c r="B57" i="6"/>
  <c r="J39" i="6"/>
  <c r="J38" i="6"/>
  <c r="E38" i="6"/>
  <c r="D26" i="6"/>
  <c r="B31" i="6"/>
  <c r="B33" i="6" s="1"/>
  <c r="E24" i="6"/>
  <c r="D24" i="6"/>
  <c r="C11" i="6"/>
  <c r="D8" i="6"/>
  <c r="B6" i="6"/>
  <c r="B9" i="6" s="1"/>
  <c r="B12" i="6" s="1"/>
  <c r="B19" i="6" s="1"/>
  <c r="B20" i="6" s="1"/>
  <c r="G4" i="6"/>
  <c r="B81" i="6" s="1"/>
  <c r="E4" i="6"/>
  <c r="C6" i="6"/>
  <c r="C83" i="6" l="1"/>
  <c r="C89" i="6" s="1"/>
  <c r="D82" i="6"/>
  <c r="D88" i="6" s="1"/>
  <c r="D83" i="6"/>
  <c r="D89" i="6" s="1"/>
  <c r="C81" i="6"/>
  <c r="C87" i="6" s="1"/>
  <c r="H82" i="6"/>
  <c r="H88" i="6" s="1"/>
  <c r="F81" i="6"/>
  <c r="G81" i="6"/>
  <c r="G87" i="6" s="1"/>
  <c r="E63" i="6"/>
  <c r="F50" i="6"/>
  <c r="F84" i="6" s="1"/>
  <c r="K39" i="6"/>
  <c r="I81" i="6"/>
  <c r="I55" i="6"/>
  <c r="I63" i="6"/>
  <c r="I83" i="6"/>
  <c r="I89" i="6" s="1"/>
  <c r="I65" i="6"/>
  <c r="I57" i="6"/>
  <c r="B87" i="6"/>
  <c r="E55" i="6"/>
  <c r="B84" i="6"/>
  <c r="G59" i="6"/>
  <c r="F87" i="6"/>
  <c r="G64" i="6"/>
  <c r="G56" i="6"/>
  <c r="C84" i="6"/>
  <c r="G67" i="6"/>
  <c r="E25" i="6"/>
  <c r="F27" i="6"/>
  <c r="D27" i="6"/>
  <c r="C82" i="6"/>
  <c r="C88" i="6" s="1"/>
  <c r="C56" i="6"/>
  <c r="C64" i="6"/>
  <c r="G50" i="6"/>
  <c r="E6" i="6"/>
  <c r="D6" i="6"/>
  <c r="D29" i="6"/>
  <c r="D57" i="6"/>
  <c r="E40" i="6"/>
  <c r="K40" i="6" s="1"/>
  <c r="I50" i="6"/>
  <c r="I67" i="6"/>
  <c r="C31" i="6"/>
  <c r="D50" i="6"/>
  <c r="D55" i="6"/>
  <c r="H55" i="6"/>
  <c r="B56" i="6"/>
  <c r="F56" i="6"/>
  <c r="H59" i="6"/>
  <c r="B63" i="6"/>
  <c r="F63" i="6"/>
  <c r="D64" i="6"/>
  <c r="H64" i="6"/>
  <c r="F65" i="6"/>
  <c r="B67" i="6"/>
  <c r="F67" i="6"/>
  <c r="D81" i="6"/>
  <c r="H81" i="6"/>
  <c r="I82" i="6"/>
  <c r="I88" i="6" s="1"/>
  <c r="B83" i="6"/>
  <c r="F83" i="6"/>
  <c r="F24" i="6"/>
  <c r="D25" i="6"/>
  <c r="D30" i="6"/>
  <c r="K38" i="6"/>
  <c r="C58" i="6"/>
  <c r="I59" i="6"/>
  <c r="C65" i="6"/>
  <c r="B82" i="6"/>
  <c r="F82" i="6"/>
  <c r="H83" i="6"/>
  <c r="H89" i="6" s="1"/>
  <c r="D4" i="6"/>
  <c r="J42" i="6"/>
  <c r="J48" i="6"/>
  <c r="J56" i="6" s="1"/>
  <c r="B50" i="6"/>
  <c r="B58" i="6" s="1"/>
  <c r="F55" i="6"/>
  <c r="D65" i="6"/>
  <c r="E50" i="6" l="1"/>
  <c r="E51" i="6" s="1"/>
  <c r="K51" i="6" s="1"/>
  <c r="J50" i="6"/>
  <c r="C85" i="6"/>
  <c r="C91" i="6" s="1"/>
  <c r="F66" i="6"/>
  <c r="F58" i="6"/>
  <c r="E65" i="6"/>
  <c r="J81" i="6"/>
  <c r="J87" i="6" s="1"/>
  <c r="D31" i="6"/>
  <c r="D33" i="6" s="1"/>
  <c r="J59" i="6"/>
  <c r="F88" i="6"/>
  <c r="J82" i="6"/>
  <c r="J83" i="6"/>
  <c r="F89" i="6"/>
  <c r="D87" i="6"/>
  <c r="K65" i="6"/>
  <c r="J65" i="6"/>
  <c r="G58" i="6"/>
  <c r="G66" i="6"/>
  <c r="G84" i="6"/>
  <c r="F85" i="6"/>
  <c r="F90" i="6"/>
  <c r="J57" i="6"/>
  <c r="B88" i="6"/>
  <c r="E82" i="6"/>
  <c r="E88" i="6" s="1"/>
  <c r="E64" i="6"/>
  <c r="E56" i="6"/>
  <c r="B89" i="6"/>
  <c r="E83" i="6"/>
  <c r="E89" i="6" s="1"/>
  <c r="J67" i="6"/>
  <c r="K63" i="6"/>
  <c r="J63" i="6"/>
  <c r="I84" i="6"/>
  <c r="I90" i="6" s="1"/>
  <c r="I66" i="6"/>
  <c r="I58" i="6"/>
  <c r="D58" i="6"/>
  <c r="F29" i="6"/>
  <c r="C90" i="6"/>
  <c r="F25" i="6"/>
  <c r="E41" i="6"/>
  <c r="E42" i="6" s="1"/>
  <c r="B66" i="6"/>
  <c r="H58" i="6"/>
  <c r="H84" i="6"/>
  <c r="H90" i="6" s="1"/>
  <c r="H66" i="6"/>
  <c r="C33" i="6"/>
  <c r="E33" i="6" s="1"/>
  <c r="E31" i="6"/>
  <c r="J55" i="6"/>
  <c r="B90" i="6"/>
  <c r="E81" i="6"/>
  <c r="J64" i="6"/>
  <c r="K48" i="6"/>
  <c r="K64" i="6" s="1"/>
  <c r="H87" i="6"/>
  <c r="D84" i="6"/>
  <c r="D90" i="6" s="1"/>
  <c r="D66" i="6"/>
  <c r="E57" i="6"/>
  <c r="B85" i="6"/>
  <c r="B91" i="6" s="1"/>
  <c r="I87" i="6"/>
  <c r="K50" i="6" l="1"/>
  <c r="K81" i="6"/>
  <c r="L81" i="6" s="1"/>
  <c r="K57" i="6"/>
  <c r="H85" i="6"/>
  <c r="H91" i="6" s="1"/>
  <c r="I85" i="6"/>
  <c r="I91" i="6" s="1"/>
  <c r="J84" i="6"/>
  <c r="J90" i="6" s="1"/>
  <c r="D85" i="6"/>
  <c r="D91" i="6" s="1"/>
  <c r="E84" i="6"/>
  <c r="G31" i="6"/>
  <c r="F31" i="6"/>
  <c r="E59" i="6"/>
  <c r="G33" i="6"/>
  <c r="F33" i="6"/>
  <c r="K56" i="6"/>
  <c r="F91" i="6"/>
  <c r="J66" i="6"/>
  <c r="J58" i="6"/>
  <c r="K55" i="6"/>
  <c r="E58" i="6"/>
  <c r="K41" i="6"/>
  <c r="G90" i="6"/>
  <c r="G85" i="6"/>
  <c r="G91" i="6" s="1"/>
  <c r="K83" i="6"/>
  <c r="L83" i="6" s="1"/>
  <c r="J89" i="6"/>
  <c r="K89" i="6" s="1"/>
  <c r="E87" i="6"/>
  <c r="K87" i="6" s="1"/>
  <c r="E67" i="6"/>
  <c r="E66" i="6"/>
  <c r="K82" i="6"/>
  <c r="L82" i="6" s="1"/>
  <c r="J88" i="6"/>
  <c r="K88" i="6" s="1"/>
  <c r="K66" i="6" l="1"/>
  <c r="K84" i="6"/>
  <c r="L84" i="6" s="1"/>
  <c r="J85" i="6"/>
  <c r="J91" i="6" s="1"/>
  <c r="E85" i="6"/>
  <c r="E91" i="6" s="1"/>
  <c r="E90" i="6"/>
  <c r="K90" i="6" s="1"/>
  <c r="K58" i="6"/>
  <c r="K42" i="6"/>
  <c r="D7" i="6"/>
  <c r="E7" i="6"/>
  <c r="C9" i="6"/>
  <c r="K91" i="6" l="1"/>
  <c r="K85" i="6"/>
  <c r="K94" i="6" s="1"/>
  <c r="L94" i="6" s="1"/>
  <c r="K59" i="6"/>
  <c r="K67" i="6"/>
  <c r="D9" i="6"/>
  <c r="C12" i="6"/>
  <c r="C19" i="6" s="1"/>
  <c r="C20" i="6" s="1"/>
  <c r="P24" i="2" l="1"/>
  <c r="D32" i="5" l="1"/>
  <c r="E111" i="5" l="1"/>
  <c r="E109" i="5"/>
  <c r="E108" i="5"/>
  <c r="E107" i="5"/>
  <c r="F103" i="5"/>
  <c r="F101" i="5"/>
  <c r="N101" i="5" s="1"/>
  <c r="F100" i="5"/>
  <c r="N100" i="5" s="1"/>
  <c r="F99" i="5"/>
  <c r="N99" i="5" s="1"/>
  <c r="E102" i="5" l="1"/>
  <c r="E110" i="5" s="1"/>
  <c r="B102" i="5" l="1"/>
  <c r="I107" i="5" l="1"/>
  <c r="I109" i="5"/>
  <c r="I12" i="2" l="1"/>
  <c r="P52" i="2" l="1"/>
  <c r="P9" i="2"/>
  <c r="M44" i="2" l="1"/>
  <c r="Q61" i="2"/>
  <c r="Q60" i="2"/>
  <c r="S59" i="2"/>
  <c r="O59" i="2"/>
  <c r="P55" i="2"/>
  <c r="T55" i="2" s="1"/>
  <c r="T52" i="2"/>
  <c r="Q52" i="2"/>
  <c r="L52" i="2"/>
  <c r="J52" i="2"/>
  <c r="I52" i="2"/>
  <c r="H52" i="2"/>
  <c r="Q51" i="2"/>
  <c r="C49" i="2"/>
  <c r="J51" i="2"/>
  <c r="J50" i="2"/>
  <c r="J55" i="2" s="1"/>
  <c r="I50" i="2"/>
  <c r="D48" i="2"/>
  <c r="J47" i="2"/>
  <c r="Q44" i="2"/>
  <c r="L45" i="2"/>
  <c r="J45" i="2"/>
  <c r="Q43" i="2"/>
  <c r="F42" i="2"/>
  <c r="D42" i="2"/>
  <c r="Q39" i="2"/>
  <c r="Q55" i="2" s="1"/>
  <c r="F39" i="2"/>
  <c r="D39" i="2"/>
  <c r="T36" i="2"/>
  <c r="T35" i="2"/>
  <c r="R35" i="2"/>
  <c r="Q34" i="2"/>
  <c r="Q50" i="2" s="1"/>
  <c r="Q27" i="2"/>
  <c r="R24" i="2"/>
  <c r="T24" i="2" s="1"/>
  <c r="P22" i="2"/>
  <c r="Q19" i="2"/>
  <c r="K20" i="2"/>
  <c r="Q18" i="2"/>
  <c r="S17" i="2"/>
  <c r="Q17" i="2"/>
  <c r="P17" i="2"/>
  <c r="L51" i="2"/>
  <c r="K17" i="2"/>
  <c r="F17" i="2"/>
  <c r="D17" i="2"/>
  <c r="M16" i="2"/>
  <c r="L50" i="2"/>
  <c r="K16" i="2"/>
  <c r="M12" i="2"/>
  <c r="K12" i="2"/>
  <c r="B12" i="2"/>
  <c r="K9" i="2"/>
  <c r="F9" i="2"/>
  <c r="D9" i="2"/>
  <c r="P8" i="2"/>
  <c r="T8" i="2" s="1"/>
  <c r="S7" i="2"/>
  <c r="L35" i="2" s="1"/>
  <c r="Q7" i="2"/>
  <c r="J35" i="2" s="1"/>
  <c r="L6" i="2"/>
  <c r="L10" i="2" s="1"/>
  <c r="L13" i="2" s="1"/>
  <c r="E6" i="2"/>
  <c r="E10" i="2" s="1"/>
  <c r="E13" i="2" s="1"/>
  <c r="E18" i="2" s="1"/>
  <c r="S4" i="2"/>
  <c r="S6" i="2" s="1"/>
  <c r="Q4" i="2"/>
  <c r="Q6" i="2" s="1"/>
  <c r="J34" i="2" s="1"/>
  <c r="J37" i="2" s="1"/>
  <c r="B36" i="5"/>
  <c r="H115" i="5"/>
  <c r="D117" i="5"/>
  <c r="C117" i="5"/>
  <c r="D116" i="5"/>
  <c r="C116" i="5"/>
  <c r="B108" i="5"/>
  <c r="C107" i="5"/>
  <c r="B115" i="5"/>
  <c r="J117" i="5"/>
  <c r="F95" i="5"/>
  <c r="C94" i="5" s="1"/>
  <c r="H94" i="5"/>
  <c r="B94" i="5"/>
  <c r="F91" i="5"/>
  <c r="B80" i="5"/>
  <c r="B77" i="5"/>
  <c r="D67" i="5"/>
  <c r="B79" i="5" s="1"/>
  <c r="D45" i="5"/>
  <c r="E7" i="5"/>
  <c r="D7" i="5"/>
  <c r="B29" i="5"/>
  <c r="I117" i="5"/>
  <c r="B119" i="5"/>
  <c r="C119" i="5"/>
  <c r="S18" i="2" l="1"/>
  <c r="L46" i="2" s="1"/>
  <c r="R22" i="2"/>
  <c r="Q53" i="2"/>
  <c r="T17" i="2"/>
  <c r="D29" i="5"/>
  <c r="E29" i="5"/>
  <c r="J44" i="2"/>
  <c r="K44" i="2" s="1"/>
  <c r="R17" i="2"/>
  <c r="Q20" i="2"/>
  <c r="Q28" i="2" s="1"/>
  <c r="E37" i="2"/>
  <c r="Q45" i="2"/>
  <c r="M52" i="2"/>
  <c r="K52" i="2"/>
  <c r="D19" i="2"/>
  <c r="J116" i="5"/>
  <c r="H119" i="5"/>
  <c r="B116" i="5"/>
  <c r="F115" i="5"/>
  <c r="D107" i="5"/>
  <c r="B107" i="5" s="1"/>
  <c r="F107" i="5" s="1"/>
  <c r="M115" i="5"/>
  <c r="P19" i="2"/>
  <c r="I47" i="2" s="1"/>
  <c r="S37" i="2"/>
  <c r="S40" i="2" s="1"/>
  <c r="D115" i="5"/>
  <c r="I94" i="5" s="1"/>
  <c r="D109" i="5"/>
  <c r="C109" i="5" s="1"/>
  <c r="F93" i="5" s="1"/>
  <c r="N93" i="5" s="1"/>
  <c r="P37" i="2"/>
  <c r="P40" i="2" s="1"/>
  <c r="R55" i="2"/>
  <c r="R44" i="2"/>
  <c r="J46" i="2"/>
  <c r="K50" i="2"/>
  <c r="Q10" i="2"/>
  <c r="M9" i="2"/>
  <c r="K21" i="2"/>
  <c r="E20" i="2"/>
  <c r="S19" i="2"/>
  <c r="T34" i="2"/>
  <c r="T37" i="2" s="1"/>
  <c r="L55" i="2"/>
  <c r="Q12" i="2"/>
  <c r="S10" i="2"/>
  <c r="S13" i="2" s="1"/>
  <c r="R34" i="2"/>
  <c r="R37" i="2" s="1"/>
  <c r="T39" i="2"/>
  <c r="R39" i="2"/>
  <c r="F12" i="2"/>
  <c r="T59" i="2"/>
  <c r="Q56" i="2"/>
  <c r="T9" i="2"/>
  <c r="P12" i="2"/>
  <c r="M17" i="2"/>
  <c r="F19" i="2"/>
  <c r="T22" i="2"/>
  <c r="Q37" i="2"/>
  <c r="Q40" i="2" s="1"/>
  <c r="R52" i="2"/>
  <c r="M50" i="2"/>
  <c r="P23" i="2"/>
  <c r="P27" i="2" s="1"/>
  <c r="D111" i="5"/>
  <c r="I115" i="5"/>
  <c r="J115" i="5"/>
  <c r="C102" i="5"/>
  <c r="C111" i="5"/>
  <c r="B111" i="5"/>
  <c r="D102" i="5"/>
  <c r="B44" i="5"/>
  <c r="B38" i="5"/>
  <c r="B66" i="5" s="1"/>
  <c r="B4" i="5"/>
  <c r="B6" i="5" s="1"/>
  <c r="D31" i="5"/>
  <c r="N91" i="5"/>
  <c r="F119" i="5"/>
  <c r="B109" i="5"/>
  <c r="C115" i="5"/>
  <c r="I116" i="5"/>
  <c r="B117" i="5"/>
  <c r="D119" i="5"/>
  <c r="J119" i="5"/>
  <c r="D94" i="5"/>
  <c r="F94" i="5" s="1"/>
  <c r="J94" i="5"/>
  <c r="F102" i="5" l="1"/>
  <c r="F118" i="5" s="1"/>
  <c r="E40" i="2"/>
  <c r="E43" i="2" s="1"/>
  <c r="E47" i="2" s="1"/>
  <c r="M94" i="5"/>
  <c r="F48" i="2"/>
  <c r="T27" i="2"/>
  <c r="R19" i="2"/>
  <c r="B47" i="5"/>
  <c r="B51" i="5" s="1"/>
  <c r="L34" i="2"/>
  <c r="L37" i="2" s="1"/>
  <c r="L41" i="2" s="1"/>
  <c r="Q59" i="2"/>
  <c r="Q62" i="2" s="1"/>
  <c r="J48" i="2"/>
  <c r="J56" i="2" s="1"/>
  <c r="T40" i="2"/>
  <c r="F109" i="5"/>
  <c r="F111" i="5"/>
  <c r="M117" i="5"/>
  <c r="R40" i="2"/>
  <c r="J102" i="5"/>
  <c r="H102" i="5"/>
  <c r="C110" i="5"/>
  <c r="I119" i="5"/>
  <c r="H117" i="5"/>
  <c r="H109" i="5"/>
  <c r="M109" i="5"/>
  <c r="N117" i="5"/>
  <c r="F117" i="5"/>
  <c r="N107" i="5"/>
  <c r="T19" i="2"/>
  <c r="S20" i="2"/>
  <c r="S28" i="2" s="1"/>
  <c r="R23" i="2"/>
  <c r="I51" i="2"/>
  <c r="T23" i="2"/>
  <c r="T12" i="2"/>
  <c r="R61" i="2"/>
  <c r="Q13" i="2"/>
  <c r="J41" i="2" s="1"/>
  <c r="R12" i="2"/>
  <c r="J39" i="2"/>
  <c r="K39" i="2" s="1"/>
  <c r="D110" i="5"/>
  <c r="B118" i="5"/>
  <c r="B110" i="5"/>
  <c r="D118" i="5"/>
  <c r="I55" i="2" l="1"/>
  <c r="S43" i="2"/>
  <c r="S60" i="2"/>
  <c r="E49" i="2"/>
  <c r="J110" i="5"/>
  <c r="M102" i="5"/>
  <c r="M103" i="5" s="1"/>
  <c r="S61" i="2"/>
  <c r="S62" i="2" s="1"/>
  <c r="S44" i="2"/>
  <c r="R59" i="2"/>
  <c r="L47" i="2"/>
  <c r="L48" i="2" s="1"/>
  <c r="L56" i="2" s="1"/>
  <c r="H110" i="5"/>
  <c r="K47" i="2"/>
  <c r="F110" i="5"/>
  <c r="D108" i="5"/>
  <c r="C108" i="5" s="1"/>
  <c r="F108" i="5" s="1"/>
  <c r="M108" i="5"/>
  <c r="D35" i="5"/>
  <c r="C36" i="5"/>
  <c r="E36" i="5" s="1"/>
  <c r="J118" i="5"/>
  <c r="M116" i="5"/>
  <c r="D23" i="5"/>
  <c r="H118" i="5"/>
  <c r="N109" i="5"/>
  <c r="F92" i="5"/>
  <c r="I118" i="5"/>
  <c r="I110" i="5"/>
  <c r="N115" i="5"/>
  <c r="R20" i="2"/>
  <c r="M39" i="2"/>
  <c r="K51" i="2"/>
  <c r="M51" i="2"/>
  <c r="R27" i="2"/>
  <c r="B9" i="5"/>
  <c r="B12" i="5" s="1"/>
  <c r="N94" i="5"/>
  <c r="M95" i="5"/>
  <c r="B17" i="5" l="1"/>
  <c r="B72" i="5"/>
  <c r="M47" i="2"/>
  <c r="T61" i="2"/>
  <c r="S45" i="2"/>
  <c r="T44" i="2"/>
  <c r="N102" i="5"/>
  <c r="N118" i="5" s="1"/>
  <c r="C68" i="5"/>
  <c r="M111" i="5"/>
  <c r="M118" i="5"/>
  <c r="B18" i="5"/>
  <c r="B76" i="5"/>
  <c r="C71" i="5" s="1"/>
  <c r="F116" i="5"/>
  <c r="N92" i="5"/>
  <c r="N108" i="5" s="1"/>
  <c r="C51" i="5"/>
  <c r="D36" i="5"/>
  <c r="M110" i="5"/>
  <c r="E23" i="5"/>
  <c r="I6" i="2"/>
  <c r="M4" i="2"/>
  <c r="K4" i="2"/>
  <c r="R28" i="2"/>
  <c r="K55" i="2"/>
  <c r="M55" i="2"/>
  <c r="N95" i="5"/>
  <c r="B68" i="5" s="1"/>
  <c r="M119" i="5"/>
  <c r="N116" i="5" l="1"/>
  <c r="N111" i="5"/>
  <c r="I10" i="2"/>
  <c r="I13" i="2" s="1"/>
  <c r="E44" i="5"/>
  <c r="D44" i="5"/>
  <c r="N110" i="5"/>
  <c r="C38" i="5"/>
  <c r="C66" i="5" s="1"/>
  <c r="C69" i="5" s="1"/>
  <c r="C72" i="5" s="1"/>
  <c r="M6" i="2"/>
  <c r="K6" i="2"/>
  <c r="B75" i="5"/>
  <c r="B84" i="5" s="1"/>
  <c r="N119" i="5"/>
  <c r="E38" i="5" l="1"/>
  <c r="K13" i="2"/>
  <c r="F7" i="2"/>
  <c r="D7" i="2"/>
  <c r="K7" i="2"/>
  <c r="M7" i="2"/>
  <c r="M10" i="2" s="1"/>
  <c r="M13" i="2" s="1"/>
  <c r="D38" i="5"/>
  <c r="D4" i="5"/>
  <c r="C6" i="5"/>
  <c r="C9" i="5" s="1"/>
  <c r="C12" i="5" s="1"/>
  <c r="C17" i="5" s="1"/>
  <c r="C76" i="5" s="1"/>
  <c r="C84" i="5" s="1"/>
  <c r="E4" i="5"/>
  <c r="D68" i="5"/>
  <c r="B69" i="5"/>
  <c r="E68" i="5"/>
  <c r="K10" i="2" l="1"/>
  <c r="R51" i="2"/>
  <c r="T51" i="2"/>
  <c r="R7" i="2"/>
  <c r="T7" i="2"/>
  <c r="D66" i="5"/>
  <c r="E66" i="5"/>
  <c r="D6" i="5"/>
  <c r="E6" i="5"/>
  <c r="F4" i="2"/>
  <c r="S53" i="2" s="1"/>
  <c r="S56" i="2" s="1"/>
  <c r="B6" i="2"/>
  <c r="B10" i="2" s="1"/>
  <c r="B13" i="2" s="1"/>
  <c r="D4" i="2"/>
  <c r="D10" i="2" s="1"/>
  <c r="B20" i="2" l="1"/>
  <c r="D69" i="5"/>
  <c r="D6" i="2"/>
  <c r="F6" i="2"/>
  <c r="F10" i="2" s="1"/>
  <c r="R4" i="2"/>
  <c r="R10" i="2" s="1"/>
  <c r="P6" i="2"/>
  <c r="T4" i="2"/>
  <c r="R50" i="2"/>
  <c r="T50" i="2"/>
  <c r="T53" i="2" s="1"/>
  <c r="P53" i="2"/>
  <c r="B18" i="2" l="1"/>
  <c r="P18" i="2" s="1"/>
  <c r="F13" i="2"/>
  <c r="D13" i="2"/>
  <c r="P56" i="2"/>
  <c r="R53" i="2"/>
  <c r="T6" i="2"/>
  <c r="R6" i="2"/>
  <c r="P10" i="2"/>
  <c r="P13" i="2" s="1"/>
  <c r="D20" i="2" l="1"/>
  <c r="F20" i="2"/>
  <c r="T10" i="2"/>
  <c r="R56" i="2"/>
  <c r="T56" i="2"/>
  <c r="D18" i="2" l="1"/>
  <c r="F18" i="2"/>
  <c r="R13" i="2"/>
  <c r="T13" i="2"/>
  <c r="D46" i="2" l="1"/>
  <c r="F46" i="2"/>
  <c r="R18" i="2"/>
  <c r="P20" i="2"/>
  <c r="P28" i="2" s="1"/>
  <c r="T18" i="2"/>
  <c r="K45" i="2" l="1"/>
  <c r="M45" i="2"/>
  <c r="T20" i="2"/>
  <c r="P30" i="2"/>
  <c r="D35" i="2" l="1"/>
  <c r="F35" i="2"/>
  <c r="T28" i="2"/>
  <c r="B37" i="2" l="1"/>
  <c r="B40" i="2" s="1"/>
  <c r="B43" i="2" s="1"/>
  <c r="B47" i="2" s="1"/>
  <c r="P43" i="2" s="1"/>
  <c r="D37" i="2"/>
  <c r="F34" i="2"/>
  <c r="F37" i="2" s="1"/>
  <c r="P60" i="2" l="1"/>
  <c r="I46" i="2"/>
  <c r="M34" i="2"/>
  <c r="K34" i="2"/>
  <c r="D38" i="2" l="1"/>
  <c r="F38" i="2"/>
  <c r="F40" i="2" s="1"/>
  <c r="M35" i="2" l="1"/>
  <c r="M37" i="2" s="1"/>
  <c r="I41" i="2"/>
  <c r="K35" i="2"/>
  <c r="K37" i="2" s="1"/>
  <c r="D40" i="2"/>
  <c r="D43" i="2" l="1"/>
  <c r="F43" i="2"/>
  <c r="K41" i="2"/>
  <c r="M41" i="2"/>
  <c r="D47" i="2" l="1"/>
  <c r="D49" i="2" s="1"/>
  <c r="B49" i="2"/>
  <c r="F49" i="2" s="1"/>
  <c r="F47" i="2"/>
  <c r="K46" i="2" l="1"/>
  <c r="I48" i="2"/>
  <c r="M46" i="2"/>
  <c r="R60" i="2"/>
  <c r="R62" i="2" s="1"/>
  <c r="T60" i="2"/>
  <c r="T62" i="2" s="1"/>
  <c r="P62" i="2"/>
  <c r="P64" i="2" s="1"/>
  <c r="P45" i="2"/>
  <c r="P46" i="2" s="1"/>
  <c r="R43" i="2"/>
  <c r="R45" i="2" s="1"/>
  <c r="T43" i="2"/>
  <c r="T45" i="2" s="1"/>
  <c r="I56" i="2" l="1"/>
  <c r="K48" i="2"/>
  <c r="M48" i="2"/>
  <c r="M56" i="2" l="1"/>
  <c r="K56" i="2"/>
  <c r="I57" i="2"/>
  <c r="D46" i="5" l="1"/>
  <c r="D47" i="5"/>
  <c r="E46" i="5"/>
  <c r="D8" i="5" l="1"/>
  <c r="E8" i="5"/>
  <c r="D9" i="5" l="1"/>
  <c r="E9" i="5"/>
  <c r="C18" i="5" l="1"/>
</calcChain>
</file>

<file path=xl/sharedStrings.xml><?xml version="1.0" encoding="utf-8"?>
<sst xmlns="http://schemas.openxmlformats.org/spreadsheetml/2006/main" count="1274" uniqueCount="495">
  <si>
    <t>LWVCEF UNRESTRICTED</t>
  </si>
  <si>
    <t>LWVCEF RESTRICTED</t>
  </si>
  <si>
    <t>COMBINED LWVCEF</t>
  </si>
  <si>
    <t>Year End Projection</t>
  </si>
  <si>
    <t>Diff Actuals vs Projection</t>
  </si>
  <si>
    <t>Current Budget</t>
  </si>
  <si>
    <t>Difference Actuals vs Budget</t>
  </si>
  <si>
    <t>Operational Income</t>
  </si>
  <si>
    <t xml:space="preserve">Income </t>
  </si>
  <si>
    <t>Total Income</t>
  </si>
  <si>
    <t xml:space="preserve">Expense </t>
  </si>
  <si>
    <t>LWVC Contribution</t>
  </si>
  <si>
    <t>Transfer Out</t>
  </si>
  <si>
    <t>Transfers In/Out</t>
  </si>
  <si>
    <t>Net Income/(Expense)</t>
  </si>
  <si>
    <t>Net Assets Beg Balance</t>
  </si>
  <si>
    <t>Net Assets Proj Ending Balance</t>
  </si>
  <si>
    <t>Ending Balance Components</t>
  </si>
  <si>
    <t>RESTRICTED:  SVCF</t>
  </si>
  <si>
    <t>Strategic Initiative Fund</t>
  </si>
  <si>
    <t>RESTRICTED : Voters Edge</t>
  </si>
  <si>
    <t>Strategic Initiative</t>
  </si>
  <si>
    <t>Undesignated Reserve</t>
  </si>
  <si>
    <t>Board Operational Reserve</t>
  </si>
  <si>
    <t>RESTRICTED: Easy Voter (PLP)</t>
  </si>
  <si>
    <t>Total Unrestricted Reserve</t>
  </si>
  <si>
    <t>Total Temporarily Restricted</t>
  </si>
  <si>
    <t>Total UNRESTRICTED Reserve</t>
  </si>
  <si>
    <t>Total  Reserve</t>
  </si>
  <si>
    <t>assume rounding</t>
  </si>
  <si>
    <t>LWVC</t>
  </si>
  <si>
    <t>COMBINED LWVCEF - LWVC</t>
  </si>
  <si>
    <t>Unrestricted LWVC</t>
  </si>
  <si>
    <t>Restricted Income</t>
  </si>
  <si>
    <t>Contribution to LWVCEF</t>
  </si>
  <si>
    <t>Trudy Schafer Fellowship</t>
  </si>
  <si>
    <t>Redistricting</t>
  </si>
  <si>
    <t>Unrestricted LWVC/LWVCEF</t>
  </si>
  <si>
    <t>Diff Projection Vs Budget</t>
  </si>
  <si>
    <t>Difference YTD Actuals vs Budget</t>
  </si>
  <si>
    <t>RESTRICTED: SCVF</t>
  </si>
  <si>
    <t>Total Reserve</t>
  </si>
  <si>
    <t>Transfers Out</t>
  </si>
  <si>
    <t>LWVCEF 2018/19 Budget Beg Balances versus Actual Beg Balances Sources</t>
  </si>
  <si>
    <t>Planned</t>
  </si>
  <si>
    <t>Actual</t>
  </si>
  <si>
    <t>Difference</t>
  </si>
  <si>
    <t>Total Unrestricted/Restricted</t>
  </si>
  <si>
    <t>Budget</t>
  </si>
  <si>
    <t>Schools and Communities</t>
  </si>
  <si>
    <t>Voters Edge</t>
  </si>
  <si>
    <t>2B and 2C</t>
  </si>
  <si>
    <t>.</t>
  </si>
  <si>
    <t>Actuals</t>
  </si>
  <si>
    <t xml:space="preserve">Difference </t>
  </si>
  <si>
    <t>Actuals % of Budget</t>
  </si>
  <si>
    <t>Total Expense</t>
  </si>
  <si>
    <t>Contribution LWVCEF</t>
  </si>
  <si>
    <t xml:space="preserve">Board Operational Reserve </t>
  </si>
  <si>
    <t>Designated Reserve</t>
  </si>
  <si>
    <t xml:space="preserve">    Undesignated Reserve</t>
  </si>
  <si>
    <t>Revenue Budget, Actuals</t>
  </si>
  <si>
    <t>Difference Budget vs Projection</t>
  </si>
  <si>
    <t>Proj % of Budget</t>
  </si>
  <si>
    <t>Membership</t>
  </si>
  <si>
    <t>Contributions</t>
  </si>
  <si>
    <t>Grant Income</t>
  </si>
  <si>
    <t>Restricted ( Trudy Schafer))</t>
  </si>
  <si>
    <t>Earned Revenues</t>
  </si>
  <si>
    <t>Miscellaneous</t>
  </si>
  <si>
    <t>Total Operating Revenue</t>
  </si>
  <si>
    <t>Total Revenues</t>
  </si>
  <si>
    <t>Expense Budget</t>
  </si>
  <si>
    <t>Supporting Activities</t>
  </si>
  <si>
    <t>Program Activities</t>
  </si>
  <si>
    <t>Board</t>
  </si>
  <si>
    <t>Management</t>
  </si>
  <si>
    <t>Development</t>
  </si>
  <si>
    <t>Supporting Subtotal</t>
  </si>
  <si>
    <t>Member Services</t>
  </si>
  <si>
    <t>Convention</t>
  </si>
  <si>
    <t>LEW/MyLO</t>
  </si>
  <si>
    <t>Advocacy</t>
  </si>
  <si>
    <t>Program Subtotal</t>
  </si>
  <si>
    <t>Total Expenses</t>
  </si>
  <si>
    <t>Salaries and Benefits</t>
  </si>
  <si>
    <t>Travel</t>
  </si>
  <si>
    <t>Services and Professional Fees</t>
  </si>
  <si>
    <t>Office and Occupancy</t>
  </si>
  <si>
    <t>Total Budget Expenses</t>
  </si>
  <si>
    <t>Total Actual Expenses</t>
  </si>
  <si>
    <t>Fundraising</t>
  </si>
  <si>
    <t>August Year End Projection</t>
  </si>
  <si>
    <t>LEW</t>
  </si>
  <si>
    <t>Total Projected Expenses</t>
  </si>
  <si>
    <t>Difference Budget/Projection</t>
  </si>
  <si>
    <t>Total Difference</t>
  </si>
  <si>
    <t>Expense Projection assumptions</t>
  </si>
  <si>
    <t>Most expenses are projected to be 11/12 (92%) spent for the year. Exceptions are noted</t>
  </si>
  <si>
    <t>Insurance savings is $13,000 which also reduces revenue</t>
  </si>
  <si>
    <t>Convention expenses as shown in prepaid expense</t>
  </si>
  <si>
    <t>Office and Occupancy added $5000 expense to cost out Amazon servers</t>
  </si>
  <si>
    <t>LWVUS Council Travel Estimate</t>
  </si>
  <si>
    <t>1000.1 Board</t>
  </si>
  <si>
    <t>1000 Management - Other</t>
  </si>
  <si>
    <t>3001.1 MTA</t>
  </si>
  <si>
    <t>3001 Member Services - Other</t>
  </si>
  <si>
    <t>Total 3001 Member Services</t>
  </si>
  <si>
    <t>3004 Conventions</t>
  </si>
  <si>
    <t>3006.1 LEW</t>
  </si>
  <si>
    <t>3006.2 MyLO</t>
  </si>
  <si>
    <t>Total 3006 LEW*</t>
  </si>
  <si>
    <t>3010 Schools &amp; Communities 1st</t>
  </si>
  <si>
    <t>3011 Schafer Fellowship</t>
  </si>
  <si>
    <t>3007 Advocacy - Other</t>
  </si>
  <si>
    <t>Total 3007 Advocacy</t>
  </si>
  <si>
    <t>9001 APP</t>
  </si>
  <si>
    <t>9002 IPP</t>
  </si>
  <si>
    <t>9003 OCC</t>
  </si>
  <si>
    <t>(1000 Management)</t>
  </si>
  <si>
    <t>Total 1000 Management</t>
  </si>
  <si>
    <t>Total 2000 Development</t>
  </si>
  <si>
    <t>(3001 Member Services)</t>
  </si>
  <si>
    <t>(3000 Programs)</t>
  </si>
  <si>
    <t>(3006 LEW*)</t>
  </si>
  <si>
    <t>(3007 Advocacy)</t>
  </si>
  <si>
    <t>Total 3000 Programs</t>
  </si>
  <si>
    <t>(9000 To Be Split)</t>
  </si>
  <si>
    <t>Total 9000 To Be Split</t>
  </si>
  <si>
    <t>TOTAL</t>
  </si>
  <si>
    <t>Ordinary Income/Expense</t>
  </si>
  <si>
    <t>Income</t>
  </si>
  <si>
    <t>40010 · Membership Dues</t>
  </si>
  <si>
    <t>40015 · Contributions</t>
  </si>
  <si>
    <t>40100 · Earned Revenues</t>
  </si>
  <si>
    <t>40160 · Rental Income</t>
  </si>
  <si>
    <t>40170 · Interest</t>
  </si>
  <si>
    <t>Cost of Goods Sold</t>
  </si>
  <si>
    <t>50000 · Cost of Goods Sold</t>
  </si>
  <si>
    <t>Total COGS</t>
  </si>
  <si>
    <t>Gross Profit</t>
  </si>
  <si>
    <t>Expense</t>
  </si>
  <si>
    <t>60010 · Personnel</t>
  </si>
  <si>
    <t>60020 · Accounting Fees</t>
  </si>
  <si>
    <t>60021 · Bank Charges/Fees</t>
  </si>
  <si>
    <t>60030 · Legal Fees</t>
  </si>
  <si>
    <t>60040 · Supplies</t>
  </si>
  <si>
    <t>60050 · Telecommunications</t>
  </si>
  <si>
    <t>60060 · Postage/Shipping</t>
  </si>
  <si>
    <t>60070 · Occupancy</t>
  </si>
  <si>
    <t>60080 · Equipment rental &amp; maintenance</t>
  </si>
  <si>
    <t>60090 · Printing and publications</t>
  </si>
  <si>
    <t>60100 · Travel/Food/Lodging</t>
  </si>
  <si>
    <t>60110 · Promotion</t>
  </si>
  <si>
    <t>60140 · Insurance</t>
  </si>
  <si>
    <t>60150 · LWVUS MAL Dues</t>
  </si>
  <si>
    <t>60160 · Fees, subscriptions</t>
  </si>
  <si>
    <t>60170 · Independent Contractors</t>
  </si>
  <si>
    <t>60171 · In-Kind Services</t>
  </si>
  <si>
    <t>Net Ordinary Income</t>
  </si>
  <si>
    <t>Net Income</t>
  </si>
  <si>
    <t>Oct 19</t>
  </si>
  <si>
    <t>Nov 19</t>
  </si>
  <si>
    <t>Dec 19</t>
  </si>
  <si>
    <t>Jan 20</t>
  </si>
  <si>
    <t>Feb 20</t>
  </si>
  <si>
    <t>Mar 20</t>
  </si>
  <si>
    <t>40010.1 · PMP dues</t>
  </si>
  <si>
    <t>40010.2 · Payments in lieu of PMPs</t>
  </si>
  <si>
    <t>40010.3 · MAL Dues</t>
  </si>
  <si>
    <t>Total 40010 · Membership Dues</t>
  </si>
  <si>
    <t>40030 · Contributions - Unrestricted</t>
  </si>
  <si>
    <t>40031 · Contributions - Restricted</t>
  </si>
  <si>
    <t>40035 · In Kind Contributions</t>
  </si>
  <si>
    <t>40070 · Grant Income - Unrestricted</t>
  </si>
  <si>
    <t>40071 · Grant Income - Restricted</t>
  </si>
  <si>
    <t>Total 40015 · Contributions</t>
  </si>
  <si>
    <t>40101 · Publications</t>
  </si>
  <si>
    <t>40110 · Merchandise</t>
  </si>
  <si>
    <t>40115 · Shipping Postage</t>
  </si>
  <si>
    <t>40120 · Liability Insurance</t>
  </si>
  <si>
    <t>40130 · Workshops</t>
  </si>
  <si>
    <t>40150 · Contract Services</t>
  </si>
  <si>
    <t>40150.2 · LEW Contracts</t>
  </si>
  <si>
    <t>40150.4 · MyLO Contracts</t>
  </si>
  <si>
    <t>40150.5 · MyLO Migration</t>
  </si>
  <si>
    <t>Total 40150 · Contract Services</t>
  </si>
  <si>
    <t>Total 40100 · Earned Revenues</t>
  </si>
  <si>
    <t>Oct 31, 19</t>
  </si>
  <si>
    <t>Nov 30, 19</t>
  </si>
  <si>
    <t>Dec 31, 19</t>
  </si>
  <si>
    <t>Jan 31, 20</t>
  </si>
  <si>
    <t>Feb 29, 20</t>
  </si>
  <si>
    <t>Mar 31, 20</t>
  </si>
  <si>
    <t>ASSETS</t>
  </si>
  <si>
    <t>Current Assets</t>
  </si>
  <si>
    <t>Checking/Savings</t>
  </si>
  <si>
    <t>1000 · Cash</t>
  </si>
  <si>
    <t>1005 · WFB Checking (GF)</t>
  </si>
  <si>
    <t>1015 · WF Brokerage Account</t>
  </si>
  <si>
    <t>1016 · Live Oak Bank</t>
  </si>
  <si>
    <t>1016.1 · Live Oak CD (2389)</t>
  </si>
  <si>
    <t>1016.2 · Live Oak CD (2494)</t>
  </si>
  <si>
    <t>Total 1016 · Live Oak Bank</t>
  </si>
  <si>
    <t>Total 1000 · Cash</t>
  </si>
  <si>
    <t>Total Checking/Savings</t>
  </si>
  <si>
    <t>Accounts Receivable</t>
  </si>
  <si>
    <t>1200 · Accounts Receivable</t>
  </si>
  <si>
    <t>Total Accounts Receivable</t>
  </si>
  <si>
    <t>Other Current Assets</t>
  </si>
  <si>
    <t>1120 · Inventory Asset</t>
  </si>
  <si>
    <t>13700 · Payroll Service Customer Asset</t>
  </si>
  <si>
    <t>1499 · Undeposited Funds</t>
  </si>
  <si>
    <t>1500 · Other Receivable - C3</t>
  </si>
  <si>
    <t>1500.1 · Other Receivable - C3  Payroll</t>
  </si>
  <si>
    <t>1500 · Other Receivable - C3 - Other</t>
  </si>
  <si>
    <t>Total 1500 · Other Receivable - C3</t>
  </si>
  <si>
    <t>1515 · Prepaid Insurance</t>
  </si>
  <si>
    <t>1520 · Prepaid Expenses - Other</t>
  </si>
  <si>
    <t>Total Other Current Assets</t>
  </si>
  <si>
    <t>Total Current Assets</t>
  </si>
  <si>
    <t>Fixed Assets</t>
  </si>
  <si>
    <t>1409 · Furniture &amp; Fixtures</t>
  </si>
  <si>
    <t>1410 · Equipment &amp; Software</t>
  </si>
  <si>
    <t>1490 · Accumulated depreciation</t>
  </si>
  <si>
    <t>Total Fixed Assets</t>
  </si>
  <si>
    <t>Other Assets</t>
  </si>
  <si>
    <t>1800 · Office Deposit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</si>
  <si>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</si>
  <si>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</si>
  <si>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</si>
  <si>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</si>
  <si>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</si>
  <si>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</si>
  <si>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</si>
  <si>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</si>
  <si>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</si>
  <si>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2001 · Credit Cards</t>
  </si>
  <si>
    <t>2007 · Wells Fargo</t>
  </si>
  <si>
    <t>2007.1 · Wells Fargo Carol Goldberg-0508</t>
  </si>
  <si>
    <t>2007.2 · Wells FargoStephanie Doute-7826</t>
  </si>
  <si>
    <t>2007.8 · Wells Fargo - Sharon Stone-1978</t>
  </si>
  <si>
    <t>2007.9 · Wells Fargo H Hutchison-4833</t>
  </si>
  <si>
    <t>Total 2007 · Wells Fargo</t>
  </si>
  <si>
    <t>Total 2001 · Credit Cards</t>
  </si>
  <si>
    <t>Total Credit Cards</t>
  </si>
  <si>
    <t>Other Current Liabilities</t>
  </si>
  <si>
    <t>2015 · Due to MAL/MAS</t>
  </si>
  <si>
    <t>2015.1 · Mother Lode MAS</t>
  </si>
  <si>
    <t>2015.2 · Santa Clarita MAS Unit</t>
  </si>
  <si>
    <t>2015.3 · Davis MAS</t>
  </si>
  <si>
    <t>2015 · Due to MAL/MAS - Other</t>
  </si>
  <si>
    <t>Total 2015 · Due to MAL/MAS</t>
  </si>
  <si>
    <t>2100 · Payroll Liabilities</t>
  </si>
  <si>
    <t>2100.1 · Garnishment</t>
  </si>
  <si>
    <t>2100 · Payroll Liabilities - Other</t>
  </si>
  <si>
    <t>Total 2100 · Payroll Liabilities</t>
  </si>
  <si>
    <t>2105 · Pension Liability</t>
  </si>
  <si>
    <t>2150 · Healthcare Withheld</t>
  </si>
  <si>
    <t>2200 · Sales Tax Payable</t>
  </si>
  <si>
    <t>Total Other Current Liabilities</t>
  </si>
  <si>
    <t>Total Current Liabilities</t>
  </si>
  <si>
    <t>Long Term Liabilities</t>
  </si>
  <si>
    <t>2501 · Deferred Rent</t>
  </si>
  <si>
    <t>Total Long Term Liabilities</t>
  </si>
  <si>
    <t>Total Liabilities</t>
  </si>
  <si>
    <t>Equity</t>
  </si>
  <si>
    <t>3700 · Unrestricted Net  Assets</t>
  </si>
  <si>
    <t>3700.1 · Board Designated Net Assets</t>
  </si>
  <si>
    <t>3701 · Building Reserves</t>
  </si>
  <si>
    <t>3702 · Operational Reserves</t>
  </si>
  <si>
    <t>3703 · Trudy Schafer Fellowship</t>
  </si>
  <si>
    <t>Total 3700.1 · Board Designated Net Assets</t>
  </si>
  <si>
    <t>Total Equity</t>
  </si>
  <si>
    <t>TOTAL LIABILITIES &amp; EQUITY</t>
  </si>
  <si>
    <t>K AND L</t>
  </si>
  <si>
    <t>Unrestricted</t>
  </si>
  <si>
    <t>Actual % of Budget</t>
  </si>
  <si>
    <t>Total Expense Unrestricted</t>
  </si>
  <si>
    <t>2019/20 Unrestr Beg Balance</t>
  </si>
  <si>
    <t>2019/20  Unrestr Ending Balance</t>
  </si>
  <si>
    <t>Unrestricted Ending Balance Components</t>
  </si>
  <si>
    <t>Designated</t>
  </si>
  <si>
    <t>Unrestricted Total</t>
  </si>
  <si>
    <t>Revenue</t>
  </si>
  <si>
    <t>Ind. Unrestr Contribution</t>
  </si>
  <si>
    <t>Other Contributions</t>
  </si>
  <si>
    <t>Voter Edge Earned</t>
  </si>
  <si>
    <t>Other Earned Revenue</t>
  </si>
  <si>
    <t>Subtotal Unrestricted</t>
  </si>
  <si>
    <t xml:space="preserve">Local League  Restr </t>
  </si>
  <si>
    <t>Ind. Restr Contribution</t>
  </si>
  <si>
    <t>Grants</t>
  </si>
  <si>
    <t>Subtotal Restricted</t>
  </si>
  <si>
    <t>Total</t>
  </si>
  <si>
    <t xml:space="preserve"> </t>
  </si>
  <si>
    <t>Restricted</t>
  </si>
  <si>
    <t>Income Restricted</t>
  </si>
  <si>
    <t>Transfers In</t>
  </si>
  <si>
    <t>Expense Restricted</t>
  </si>
  <si>
    <t>Budgeted Ending Balance</t>
  </si>
  <si>
    <t>SVCF</t>
  </si>
  <si>
    <t>Temporary Restricted</t>
  </si>
  <si>
    <t>LWVCEF  Combined</t>
  </si>
  <si>
    <t>Components of Ending Balance</t>
  </si>
  <si>
    <t>Operating Reserve</t>
  </si>
  <si>
    <t>Board Designated</t>
  </si>
  <si>
    <t>Community Education</t>
  </si>
  <si>
    <t>Voters Education</t>
  </si>
  <si>
    <t>EVG</t>
  </si>
  <si>
    <t>+</t>
  </si>
  <si>
    <t>Total Budget Differences</t>
  </si>
  <si>
    <t>na</t>
  </si>
  <si>
    <t xml:space="preserve">Total % </t>
  </si>
  <si>
    <t>3001.3 Guide to Government</t>
  </si>
  <si>
    <t>3001.7 Redistricting</t>
  </si>
  <si>
    <t>3001.8 CIVFR</t>
  </si>
  <si>
    <t>3001 Community Education - Other</t>
  </si>
  <si>
    <t>Total 3001 Community Education</t>
  </si>
  <si>
    <t>3012.5 PLP - EVG 17-18</t>
  </si>
  <si>
    <t>3012.7 PLP - EVG 19-20</t>
  </si>
  <si>
    <t>Total 3012 PLP</t>
  </si>
  <si>
    <t>3013 VCA</t>
  </si>
  <si>
    <t>3010 Voter Service - Other</t>
  </si>
  <si>
    <t>Total 3010 Voter Service</t>
  </si>
  <si>
    <t>3030.2 VEC - Irvine Grant 17-19</t>
  </si>
  <si>
    <t>3030 Voters Edge - Other</t>
  </si>
  <si>
    <t>Total 3030 Voters Edge</t>
  </si>
  <si>
    <t>2000 Development</t>
  </si>
  <si>
    <t>(3001 Community Education)</t>
  </si>
  <si>
    <t>(3012 PLP)</t>
  </si>
  <si>
    <t>(3010 Voter Service)</t>
  </si>
  <si>
    <t>(3030 Voters Edge)</t>
  </si>
  <si>
    <t xml:space="preserve">Total </t>
  </si>
  <si>
    <t>40010 · Local League Support-Unrestrict</t>
  </si>
  <si>
    <t>40010.2 · Payments in lieu of PMP</t>
  </si>
  <si>
    <t>Total 40010 · Local League Support-Unrestrict</t>
  </si>
  <si>
    <t>40011 · Local League Support-Restricted</t>
  </si>
  <si>
    <t>40012 · Local League Support - Unrestri</t>
  </si>
  <si>
    <t>40030 · Indiv. Contrib. - Unrestricted</t>
  </si>
  <si>
    <t>40031 · Indiv. Contributions-Restricted</t>
  </si>
  <si>
    <t>4010 · Earned Revenue</t>
  </si>
  <si>
    <t>40100 · Publications</t>
  </si>
  <si>
    <t>40160 · Contract Services</t>
  </si>
  <si>
    <t>Total 4010 · Earned Revenue</t>
  </si>
  <si>
    <t>40165 · Rental Income</t>
  </si>
  <si>
    <t>40200 · Miscellaneous Income</t>
  </si>
  <si>
    <t>60020 · Accounting Services</t>
  </si>
  <si>
    <t>60022 · Bank Charges/Fees</t>
  </si>
  <si>
    <t>60030 · Promotion</t>
  </si>
  <si>
    <t>60090 · Printing &amp; publications</t>
  </si>
  <si>
    <t>60100 · Travel,meals, lodging</t>
  </si>
  <si>
    <t>Total 3001.05 Comm. Ed - Irvine 17-19</t>
  </si>
  <si>
    <t>1005 · WFB Chkg, Combined Ed Fund Acct</t>
  </si>
  <si>
    <t>1005.1 · LWVC Ed Fund, WFB Chkg</t>
  </si>
  <si>
    <t>Total 1005 · WFB Chkg, Combined Ed Fund Acct</t>
  </si>
  <si>
    <t>1016.1 · Live Oak CD - 8798</t>
  </si>
  <si>
    <t>1016.2 · Live Oak CD - 2391</t>
  </si>
  <si>
    <t>1115 · WFB Money Market</t>
  </si>
  <si>
    <t>1119 · Wells Fargo Brokerage Account</t>
  </si>
  <si>
    <t>1800 · Prepaid Expenses</t>
  </si>
  <si>
    <t>2002 · Other Current Liabilities -  C4</t>
  </si>
  <si>
    <t>2002.1 · Other Current Liab. C4-Payroll</t>
  </si>
  <si>
    <t>2002 · Other Current Liabilities -  C4 - Other</t>
  </si>
  <si>
    <t>Total 2002 · Other Current Liabilities -  C4</t>
  </si>
  <si>
    <t>2005 · Due to Local Leagues</t>
  </si>
  <si>
    <t>2009 · Benicia CA099</t>
  </si>
  <si>
    <t>2011 · Kern County CA001</t>
  </si>
  <si>
    <t>2015 · Butte County</t>
  </si>
  <si>
    <t>2017 · Central Orange County Area</t>
  </si>
  <si>
    <t>2019 · Claremont</t>
  </si>
  <si>
    <t>2020 · Cupertino, Sunnyvale</t>
  </si>
  <si>
    <t>2026 · East San Gabriel Valley</t>
  </si>
  <si>
    <t>2027 · Eden Area</t>
  </si>
  <si>
    <t>2028 · El Dorado County</t>
  </si>
  <si>
    <t>2034 · Livermore, Amador Valley</t>
  </si>
  <si>
    <t>2040 · Mendocino County</t>
  </si>
  <si>
    <t>2041 · Merced</t>
  </si>
  <si>
    <t>2042 · Stanislaus County</t>
  </si>
  <si>
    <t>2043 · Monterey County</t>
  </si>
  <si>
    <t>2045 · North Orange County</t>
  </si>
  <si>
    <t>2047 · Riverside County</t>
  </si>
  <si>
    <t>2048 · Oakland</t>
  </si>
  <si>
    <t>2049 · Orange Coast</t>
  </si>
  <si>
    <t>2050 · Palo Alto</t>
  </si>
  <si>
    <t>2056 · West Contra Costa County</t>
  </si>
  <si>
    <t>2059 · San Bernardino CA045</t>
  </si>
  <si>
    <t>2060 · San Diego (city)</t>
  </si>
  <si>
    <t>2066 · Santa Cruz CA080</t>
  </si>
  <si>
    <t>2067 · Santa Maria Valley</t>
  </si>
  <si>
    <t>2068 · Santa Monica</t>
  </si>
  <si>
    <t>2071 · South San Mateo County</t>
  </si>
  <si>
    <t>2073 · Southwest Santa Clara Valley</t>
  </si>
  <si>
    <t>2077 · Western Nevada County</t>
  </si>
  <si>
    <t>2078 · Whittier</t>
  </si>
  <si>
    <t>2082 · Plumas MAL</t>
  </si>
  <si>
    <t>2085 · Orange County ILO</t>
  </si>
  <si>
    <t>2092 · Mother Lode MAS</t>
  </si>
  <si>
    <t>2093 · Davis MAS</t>
  </si>
  <si>
    <t>2005 · Due to Local Leagues - Other</t>
  </si>
  <si>
    <t>Total 2005 · Due to Local Leagues</t>
  </si>
  <si>
    <t>2201 · Sales Tax Payable</t>
  </si>
  <si>
    <t>2400 · Payroll Liabilities</t>
  </si>
  <si>
    <t>2900 · Clearing Account</t>
  </si>
  <si>
    <t>3720 · Board Designated Assets</t>
  </si>
  <si>
    <t>3721 · Strategic Initiative</t>
  </si>
  <si>
    <t>3723 · Building Reserves</t>
  </si>
  <si>
    <t>Total 3720 · Board Designated Assets</t>
  </si>
  <si>
    <t>3800 · Temp.  Restricted Net  Assets</t>
  </si>
  <si>
    <t>3800.06 · Voters Edge</t>
  </si>
  <si>
    <t>3835 · Other Easy Voter Guide Funders</t>
  </si>
  <si>
    <t>3839 · CIVFR</t>
  </si>
  <si>
    <t>3842 · James Irvine Foundation 17-19</t>
  </si>
  <si>
    <t>3842.01 · Community Education</t>
  </si>
  <si>
    <t>3842.02 · Voters Edge</t>
  </si>
  <si>
    <t>3842.03 · FoCE</t>
  </si>
  <si>
    <t>Total 3842 · James Irvine Foundation 17-19</t>
  </si>
  <si>
    <t>3844 · Redistricting</t>
  </si>
  <si>
    <t>Total 3800 · Temp.  Restricted Net  Assets</t>
  </si>
  <si>
    <t>Temporarilty Restricted</t>
  </si>
  <si>
    <t>Restriction satisfied by payments</t>
  </si>
  <si>
    <t>Total Revenue, gains, and other support</t>
  </si>
  <si>
    <t>Change in Net assets</t>
  </si>
  <si>
    <t>Release redistricting grant from restricted to unrestricted</t>
  </si>
  <si>
    <t>Net assets at beginning of year</t>
  </si>
  <si>
    <t>Net assets at end of year</t>
  </si>
  <si>
    <t>40171 · PPP Accrued Interest Expense</t>
  </si>
  <si>
    <t>Apr 30, 20</t>
  </si>
  <si>
    <t>1120 · Fresno First Bank - 9835</t>
  </si>
  <si>
    <t>2507 · PPP Interest Payable</t>
  </si>
  <si>
    <t>2508 · PPP SBA Note</t>
  </si>
  <si>
    <t>Apr 20</t>
  </si>
  <si>
    <t>4000 PPP</t>
  </si>
  <si>
    <t>2900.1 · Clearing Account</t>
  </si>
  <si>
    <t>PPP</t>
  </si>
  <si>
    <t>61300 · Bad Debt Expense</t>
  </si>
  <si>
    <t>May 20</t>
  </si>
  <si>
    <t>May 31, 20</t>
  </si>
  <si>
    <t>Jun 30, 20</t>
  </si>
  <si>
    <t>2601 · Ventura County.</t>
  </si>
  <si>
    <t>Jun 20</t>
  </si>
  <si>
    <t>60019 · Fiscal Mgmt., Audit, &amp; Tax Prep</t>
  </si>
  <si>
    <t>2600 · Solano County.</t>
  </si>
  <si>
    <t>3012 PLP - Other</t>
  </si>
  <si>
    <t>61400 · In-Kind Expense</t>
  </si>
  <si>
    <t>Jul 20</t>
  </si>
  <si>
    <t>40013 · Payments in Lieu of Mylo</t>
  </si>
  <si>
    <t>Jul 31, 20</t>
  </si>
  <si>
    <t>3001 Community Education</t>
  </si>
  <si>
    <t>3012.7 PLP - EVG 20-21</t>
  </si>
  <si>
    <t>3030 Voters Edge</t>
  </si>
  <si>
    <t xml:space="preserve">In kind Contributions </t>
  </si>
  <si>
    <t>2020/21 Restr Beg Balance</t>
  </si>
  <si>
    <t>2020/21 Beg Balance</t>
  </si>
  <si>
    <t>40010.4 · In Lieu of Mylo</t>
  </si>
  <si>
    <t>Restricted ( Schools and Communities ))</t>
  </si>
  <si>
    <t>2020-2021 Budget</t>
  </si>
  <si>
    <t xml:space="preserve">          New Temporary Restricted Grants </t>
  </si>
  <si>
    <t>Aug 31, 20</t>
  </si>
  <si>
    <t>Aug 20</t>
  </si>
  <si>
    <t>3014 Elect Justice</t>
  </si>
  <si>
    <t>5000 Youth GOTV</t>
  </si>
  <si>
    <t>Restricted Voters Edge, CIVFR, Redistricting,Elect Justice and Youth GOTV</t>
  </si>
  <si>
    <t>Youth GOTV</t>
  </si>
  <si>
    <t>Elect Justice</t>
  </si>
  <si>
    <t>RESTRICTED: Youth GOTV</t>
  </si>
  <si>
    <t>RESTRICTED:Elect Justice</t>
  </si>
  <si>
    <t>3005 Local Leagues</t>
  </si>
  <si>
    <t>Unclassified</t>
  </si>
  <si>
    <t>PPP Grant (assumes loan is forgiven)</t>
  </si>
  <si>
    <t>Transfer In (Restricted Grants)</t>
  </si>
  <si>
    <t>Not Adjusted to 115,000 in Qbs yet</t>
  </si>
  <si>
    <t>Sep 20</t>
  </si>
  <si>
    <t>40150.6 · Donation Page Contract</t>
  </si>
  <si>
    <t>Sep 30, 20</t>
  </si>
  <si>
    <t>Jul - Sep 20</t>
  </si>
  <si>
    <t>September  Actuals</t>
  </si>
  <si>
    <t>Financial Summary September 2020</t>
  </si>
  <si>
    <t>September  2020 Actuals</t>
  </si>
  <si>
    <t>September  2020 Budget vs Actual  Difference</t>
  </si>
  <si>
    <t xml:space="preserve">September  2020 % Spent </t>
  </si>
  <si>
    <t>LWVC September  2020 Financial Summary and Revenue Summary Report</t>
  </si>
  <si>
    <t>LWVCEF  September  2020 Functional Reports</t>
  </si>
  <si>
    <t>September  2020 Difference</t>
  </si>
  <si>
    <t>LWVCEF  September  2020 Financial Summary, Revenue Summary and Ending Balance Components</t>
  </si>
  <si>
    <t>Note: Includes Restricted Donations to Schools and Communities, Including this amount on this line because expenses are greater than revenue.</t>
  </si>
  <si>
    <t xml:space="preserve">Restricted Voters Edge, CIVFR, Redistricting,Elect Justice and Youth GOTV,PLP </t>
  </si>
  <si>
    <t>PLP EVG 20-21</t>
  </si>
  <si>
    <t>2020/21Beginning Balance</t>
  </si>
  <si>
    <t>2020/21 Ending Balance</t>
  </si>
  <si>
    <t>LWVC 2020-21 Functional Report</t>
  </si>
  <si>
    <t>3001.2 DEI</t>
  </si>
  <si>
    <t>Total 3005 Local Leagues</t>
  </si>
  <si>
    <t>3006 LEW* - Other</t>
  </si>
  <si>
    <t>Total unclassified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</si>
</sst>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0;\-#,##0.00"/>
    <numFmt numFmtId="167" formatCode="0.0%"/>
    <numFmt numFmtId="168" formatCode="_(* #,##0.0_);_(* \(#,##0.0\);_(* &quot;-&quot;??_);_(@_)"/>
    <numFmt numFmtId="170" formatCode="#,##0;\-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indexed="8"/>
      <name val="Times New Roman"/>
      <family val="2"/>
    </font>
    <font>
      <sz val="12"/>
      <color theme="1"/>
      <name val="Times New Roman"/>
      <family val="2"/>
    </font>
    <font>
      <b/>
      <sz val="14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42">
    <xf numFmtId="0" fontId="0" fillId="0" borderId="0" xfId="0"/>
    <xf numFmtId="0" fontId="0" fillId="0" borderId="0" xfId="0" applyFill="1" applyBorder="1"/>
    <xf numFmtId="0" fontId="0" fillId="0" borderId="0" xfId="0" applyFill="1"/>
    <xf numFmtId="17" fontId="7" fillId="2" borderId="0" xfId="0" applyNumberFormat="1" applyFont="1" applyFill="1"/>
    <xf numFmtId="17" fontId="2" fillId="2" borderId="0" xfId="0" applyNumberFormat="1" applyFont="1" applyFill="1"/>
    <xf numFmtId="0" fontId="0" fillId="2" borderId="0" xfId="0" applyFill="1"/>
    <xf numFmtId="0" fontId="0" fillId="2" borderId="0" xfId="0" applyFill="1" applyBorder="1"/>
    <xf numFmtId="0" fontId="7" fillId="2" borderId="0" xfId="0" applyFont="1" applyFill="1"/>
    <xf numFmtId="0" fontId="2" fillId="2" borderId="0" xfId="0" applyFont="1" applyFill="1"/>
    <xf numFmtId="0" fontId="7" fillId="2" borderId="0" xfId="0" applyFont="1" applyFill="1" applyBorder="1"/>
    <xf numFmtId="0" fontId="2" fillId="2" borderId="17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0" fillId="2" borderId="20" xfId="0" applyFill="1" applyBorder="1"/>
    <xf numFmtId="164" fontId="0" fillId="2" borderId="5" xfId="2" applyNumberFormat="1" applyFont="1" applyFill="1" applyBorder="1"/>
    <xf numFmtId="9" fontId="0" fillId="2" borderId="0" xfId="3" applyFont="1" applyFill="1" applyBorder="1"/>
    <xf numFmtId="0" fontId="0" fillId="2" borderId="2" xfId="0" applyFill="1" applyBorder="1"/>
    <xf numFmtId="164" fontId="0" fillId="2" borderId="0" xfId="2" applyNumberFormat="1" applyFont="1" applyFill="1" applyBorder="1"/>
    <xf numFmtId="164" fontId="0" fillId="2" borderId="4" xfId="2" applyNumberFormat="1" applyFon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164" fontId="0" fillId="2" borderId="10" xfId="2" applyNumberFormat="1" applyFont="1" applyFill="1" applyBorder="1"/>
    <xf numFmtId="0" fontId="0" fillId="2" borderId="4" xfId="0" applyFill="1" applyBorder="1"/>
    <xf numFmtId="0" fontId="2" fillId="2" borderId="2" xfId="0" applyFont="1" applyFill="1" applyBorder="1"/>
    <xf numFmtId="165" fontId="0" fillId="2" borderId="0" xfId="1" applyNumberFormat="1" applyFont="1" applyFill="1" applyBorder="1"/>
    <xf numFmtId="164" fontId="2" fillId="2" borderId="2" xfId="2" applyNumberFormat="1" applyFont="1" applyFill="1" applyBorder="1"/>
    <xf numFmtId="0" fontId="2" fillId="2" borderId="6" xfId="0" applyFont="1" applyFill="1" applyBorder="1"/>
    <xf numFmtId="165" fontId="0" fillId="2" borderId="12" xfId="1" applyNumberFormat="1" applyFont="1" applyFill="1" applyBorder="1"/>
    <xf numFmtId="0" fontId="0" fillId="2" borderId="2" xfId="0" applyFont="1" applyFill="1" applyBorder="1"/>
    <xf numFmtId="0" fontId="2" fillId="2" borderId="0" xfId="0" applyFont="1" applyFill="1" applyBorder="1"/>
    <xf numFmtId="165" fontId="2" fillId="2" borderId="0" xfId="1" applyNumberFormat="1" applyFont="1" applyFill="1" applyBorder="1"/>
    <xf numFmtId="164" fontId="0" fillId="2" borderId="0" xfId="0" applyNumberFormat="1" applyFill="1"/>
    <xf numFmtId="0" fontId="2" fillId="2" borderId="20" xfId="0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 applyAlignment="1">
      <alignment horizontal="center" wrapText="1"/>
    </xf>
    <xf numFmtId="164" fontId="0" fillId="2" borderId="3" xfId="2" applyNumberFormat="1" applyFont="1" applyFill="1" applyBorder="1"/>
    <xf numFmtId="164" fontId="0" fillId="2" borderId="16" xfId="0" applyNumberFormat="1" applyFill="1" applyBorder="1"/>
    <xf numFmtId="164" fontId="0" fillId="2" borderId="14" xfId="2" applyNumberFormat="1" applyFont="1" applyFill="1" applyBorder="1"/>
    <xf numFmtId="164" fontId="3" fillId="2" borderId="3" xfId="2" applyNumberFormat="1" applyFont="1" applyFill="1" applyBorder="1" applyAlignment="1">
      <alignment horizontal="right" vertical="center"/>
    </xf>
    <xf numFmtId="0" fontId="0" fillId="2" borderId="3" xfId="0" applyFill="1" applyBorder="1"/>
    <xf numFmtId="165" fontId="0" fillId="2" borderId="3" xfId="1" applyNumberFormat="1" applyFont="1" applyFill="1" applyBorder="1"/>
    <xf numFmtId="165" fontId="1" fillId="2" borderId="0" xfId="1" applyNumberFormat="1" applyFont="1" applyFill="1" applyBorder="1"/>
    <xf numFmtId="165" fontId="0" fillId="2" borderId="0" xfId="0" applyNumberFormat="1" applyFill="1"/>
    <xf numFmtId="164" fontId="0" fillId="0" borderId="0" xfId="0" applyNumberFormat="1" applyBorder="1"/>
    <xf numFmtId="165" fontId="0" fillId="0" borderId="0" xfId="1" applyNumberFormat="1" applyFont="1" applyBorder="1"/>
    <xf numFmtId="164" fontId="0" fillId="0" borderId="0" xfId="0" applyNumberFormat="1" applyFill="1" applyBorder="1"/>
    <xf numFmtId="164" fontId="2" fillId="2" borderId="7" xfId="2" applyNumberFormat="1" applyFont="1" applyFill="1" applyBorder="1"/>
    <xf numFmtId="0" fontId="0" fillId="2" borderId="7" xfId="0" applyFill="1" applyBorder="1"/>
    <xf numFmtId="164" fontId="0" fillId="2" borderId="24" xfId="2" applyNumberFormat="1" applyFont="1" applyFill="1" applyBorder="1"/>
    <xf numFmtId="164" fontId="0" fillId="2" borderId="25" xfId="2" applyNumberFormat="1" applyFont="1" applyFill="1" applyBorder="1"/>
    <xf numFmtId="0" fontId="0" fillId="2" borderId="24" xfId="0" applyFill="1" applyBorder="1"/>
    <xf numFmtId="164" fontId="1" fillId="2" borderId="24" xfId="2" applyNumberFormat="1" applyFont="1" applyFill="1" applyBorder="1"/>
    <xf numFmtId="164" fontId="2" fillId="2" borderId="14" xfId="0" applyNumberFormat="1" applyFont="1" applyFill="1" applyBorder="1"/>
    <xf numFmtId="164" fontId="2" fillId="2" borderId="13" xfId="2" applyNumberFormat="1" applyFont="1" applyFill="1" applyBorder="1"/>
    <xf numFmtId="164" fontId="0" fillId="0" borderId="4" xfId="2" applyNumberFormat="1" applyFont="1" applyBorder="1"/>
    <xf numFmtId="164" fontId="0" fillId="0" borderId="4" xfId="2" applyNumberFormat="1" applyFont="1" applyFill="1" applyBorder="1"/>
    <xf numFmtId="0" fontId="0" fillId="0" borderId="4" xfId="0" applyBorder="1"/>
    <xf numFmtId="164" fontId="0" fillId="2" borderId="11" xfId="0" applyNumberFormat="1" applyFill="1" applyBorder="1"/>
    <xf numFmtId="164" fontId="2" fillId="2" borderId="14" xfId="2" applyNumberFormat="1" applyFont="1" applyFill="1" applyBorder="1"/>
    <xf numFmtId="164" fontId="0" fillId="2" borderId="23" xfId="2" applyNumberFormat="1" applyFont="1" applyFill="1" applyBorder="1"/>
    <xf numFmtId="0" fontId="2" fillId="0" borderId="5" xfId="0" applyFont="1" applyFill="1" applyBorder="1" applyAlignment="1">
      <alignment wrapText="1"/>
    </xf>
    <xf numFmtId="164" fontId="0" fillId="0" borderId="5" xfId="0" applyNumberFormat="1" applyFill="1" applyBorder="1"/>
    <xf numFmtId="164" fontId="0" fillId="0" borderId="3" xfId="0" applyNumberFormat="1" applyFill="1" applyBorder="1"/>
    <xf numFmtId="164" fontId="0" fillId="0" borderId="14" xfId="0" applyNumberFormat="1" applyFill="1" applyBorder="1"/>
    <xf numFmtId="0" fontId="0" fillId="0" borderId="3" xfId="0" applyFill="1" applyBorder="1"/>
    <xf numFmtId="164" fontId="0" fillId="0" borderId="3" xfId="2" applyNumberFormat="1" applyFont="1" applyFill="1" applyBorder="1"/>
    <xf numFmtId="0" fontId="2" fillId="0" borderId="0" xfId="0" applyFont="1" applyFill="1" applyBorder="1"/>
    <xf numFmtId="165" fontId="2" fillId="0" borderId="0" xfId="1" applyNumberFormat="1" applyFont="1" applyFill="1" applyBorder="1"/>
    <xf numFmtId="164" fontId="0" fillId="2" borderId="29" xfId="2" applyNumberFormat="1" applyFont="1" applyFill="1" applyBorder="1"/>
    <xf numFmtId="164" fontId="0" fillId="2" borderId="2" xfId="2" applyNumberFormat="1" applyFont="1" applyFill="1" applyBorder="1"/>
    <xf numFmtId="0" fontId="0" fillId="0" borderId="2" xfId="0" applyBorder="1"/>
    <xf numFmtId="164" fontId="0" fillId="2" borderId="28" xfId="2" applyNumberFormat="1" applyFont="1" applyFill="1" applyBorder="1"/>
    <xf numFmtId="164" fontId="0" fillId="0" borderId="0" xfId="0" applyNumberFormat="1"/>
    <xf numFmtId="0" fontId="0" fillId="0" borderId="2" xfId="0" applyFill="1" applyBorder="1"/>
    <xf numFmtId="164" fontId="3" fillId="2" borderId="24" xfId="2" applyNumberFormat="1" applyFont="1" applyFill="1" applyBorder="1" applyAlignment="1">
      <alignment horizontal="right" vertical="center"/>
    </xf>
    <xf numFmtId="164" fontId="0" fillId="2" borderId="25" xfId="0" applyNumberFormat="1" applyFill="1" applyBorder="1"/>
    <xf numFmtId="164" fontId="2" fillId="2" borderId="25" xfId="2" applyNumberFormat="1" applyFont="1" applyFill="1" applyBorder="1"/>
    <xf numFmtId="165" fontId="0" fillId="2" borderId="7" xfId="0" applyNumberFormat="1" applyFill="1" applyBorder="1"/>
    <xf numFmtId="165" fontId="0" fillId="2" borderId="14" xfId="1" applyNumberFormat="1" applyFont="1" applyFill="1" applyBorder="1"/>
    <xf numFmtId="165" fontId="0" fillId="2" borderId="12" xfId="0" applyNumberFormat="1" applyFill="1" applyBorder="1"/>
    <xf numFmtId="164" fontId="0" fillId="2" borderId="16" xfId="2" applyNumberFormat="1" applyFont="1" applyFill="1" applyBorder="1"/>
    <xf numFmtId="164" fontId="0" fillId="2" borderId="5" xfId="0" applyNumberFormat="1" applyFill="1" applyBorder="1"/>
    <xf numFmtId="164" fontId="0" fillId="0" borderId="4" xfId="0" applyNumberFormat="1" applyFill="1" applyBorder="1"/>
    <xf numFmtId="0" fontId="0" fillId="3" borderId="0" xfId="0" applyFill="1"/>
    <xf numFmtId="0" fontId="2" fillId="2" borderId="21" xfId="0" applyFont="1" applyFill="1" applyBorder="1" applyAlignment="1">
      <alignment horizontal="center"/>
    </xf>
    <xf numFmtId="0" fontId="0" fillId="2" borderId="2" xfId="0" applyFill="1" applyBorder="1" applyAlignment="1">
      <alignment horizontal="left" indent="1"/>
    </xf>
    <xf numFmtId="9" fontId="0" fillId="2" borderId="3" xfId="3" applyFont="1" applyFill="1" applyBorder="1"/>
    <xf numFmtId="164" fontId="0" fillId="2" borderId="30" xfId="0" applyNumberFormat="1" applyFill="1" applyBorder="1"/>
    <xf numFmtId="0" fontId="0" fillId="2" borderId="6" xfId="0" applyFill="1" applyBorder="1"/>
    <xf numFmtId="164" fontId="0" fillId="2" borderId="12" xfId="0" applyNumberFormat="1" applyFill="1" applyBorder="1"/>
    <xf numFmtId="9" fontId="0" fillId="2" borderId="12" xfId="3" applyFont="1" applyFill="1" applyBorder="1"/>
    <xf numFmtId="0" fontId="2" fillId="0" borderId="0" xfId="0" applyFont="1" applyBorder="1"/>
    <xf numFmtId="165" fontId="2" fillId="0" borderId="0" xfId="1" applyNumberFormat="1" applyFont="1" applyBorder="1"/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2" xfId="0" applyBorder="1" applyAlignment="1">
      <alignment horizontal="left"/>
    </xf>
    <xf numFmtId="164" fontId="0" fillId="0" borderId="0" xfId="2" applyNumberFormat="1" applyFont="1" applyBorder="1"/>
    <xf numFmtId="9" fontId="0" fillId="0" borderId="3" xfId="3" applyFont="1" applyFill="1" applyBorder="1"/>
    <xf numFmtId="9" fontId="0" fillId="0" borderId="0" xfId="3" applyFont="1" applyFill="1" applyBorder="1"/>
    <xf numFmtId="166" fontId="0" fillId="0" borderId="0" xfId="0" applyNumberFormat="1"/>
    <xf numFmtId="0" fontId="0" fillId="0" borderId="2" xfId="0" applyFill="1" applyBorder="1" applyAlignment="1">
      <alignment horizontal="left"/>
    </xf>
    <xf numFmtId="165" fontId="0" fillId="0" borderId="0" xfId="1" applyNumberFormat="1" applyFont="1" applyFill="1" applyBorder="1"/>
    <xf numFmtId="165" fontId="0" fillId="0" borderId="0" xfId="0" applyNumberFormat="1" applyFill="1" applyBorder="1"/>
    <xf numFmtId="0" fontId="2" fillId="0" borderId="2" xfId="0" applyFont="1" applyFill="1" applyBorder="1" applyAlignment="1">
      <alignment horizontal="left"/>
    </xf>
    <xf numFmtId="164" fontId="2" fillId="0" borderId="0" xfId="0" applyNumberFormat="1" applyFont="1" applyFill="1" applyBorder="1"/>
    <xf numFmtId="164" fontId="0" fillId="0" borderId="0" xfId="3" applyNumberFormat="1" applyFont="1" applyFill="1" applyBorder="1"/>
    <xf numFmtId="0" fontId="0" fillId="0" borderId="2" xfId="0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2" fillId="0" borderId="2" xfId="0" applyFont="1" applyBorder="1"/>
    <xf numFmtId="164" fontId="2" fillId="0" borderId="0" xfId="2" applyNumberFormat="1" applyFont="1" applyBorder="1"/>
    <xf numFmtId="0" fontId="0" fillId="0" borderId="2" xfId="0" applyFont="1" applyFill="1" applyBorder="1"/>
    <xf numFmtId="0" fontId="0" fillId="0" borderId="0" xfId="0" applyFont="1" applyFill="1" applyBorder="1"/>
    <xf numFmtId="0" fontId="0" fillId="0" borderId="3" xfId="0" applyBorder="1"/>
    <xf numFmtId="0" fontId="2" fillId="0" borderId="6" xfId="0" applyFont="1" applyFill="1" applyBorder="1" applyAlignment="1">
      <alignment horizontal="left"/>
    </xf>
    <xf numFmtId="164" fontId="2" fillId="0" borderId="7" xfId="0" applyNumberFormat="1" applyFont="1" applyFill="1" applyBorder="1"/>
    <xf numFmtId="164" fontId="0" fillId="0" borderId="12" xfId="0" applyNumberFormat="1" applyFill="1" applyBorder="1"/>
    <xf numFmtId="9" fontId="0" fillId="0" borderId="12" xfId="3" applyFont="1" applyFill="1" applyBorder="1"/>
    <xf numFmtId="0" fontId="2" fillId="0" borderId="20" xfId="0" applyFont="1" applyFill="1" applyBorder="1"/>
    <xf numFmtId="0" fontId="2" fillId="0" borderId="21" xfId="0" applyFont="1" applyBorder="1"/>
    <xf numFmtId="0" fontId="2" fillId="0" borderId="20" xfId="0" applyFont="1" applyBorder="1" applyAlignment="1">
      <alignment wrapText="1"/>
    </xf>
    <xf numFmtId="164" fontId="0" fillId="0" borderId="2" xfId="0" applyNumberFormat="1" applyFill="1" applyBorder="1"/>
    <xf numFmtId="0" fontId="0" fillId="0" borderId="6" xfId="0" applyBorder="1"/>
    <xf numFmtId="164" fontId="0" fillId="0" borderId="28" xfId="0" applyNumberFormat="1" applyFill="1" applyBorder="1"/>
    <xf numFmtId="9" fontId="0" fillId="6" borderId="12" xfId="3" applyFont="1" applyFill="1" applyBorder="1"/>
    <xf numFmtId="165" fontId="0" fillId="0" borderId="4" xfId="0" applyNumberFormat="1" applyFill="1" applyBorder="1"/>
    <xf numFmtId="164" fontId="0" fillId="0" borderId="0" xfId="2" applyNumberFormat="1" applyFont="1" applyFill="1" applyBorder="1"/>
    <xf numFmtId="0" fontId="0" fillId="0" borderId="6" xfId="0" applyFill="1" applyBorder="1"/>
    <xf numFmtId="0" fontId="2" fillId="0" borderId="20" xfId="0" applyFont="1" applyBorder="1"/>
    <xf numFmtId="0" fontId="2" fillId="0" borderId="6" xfId="0" applyFont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" xfId="0" applyFont="1" applyBorder="1" applyAlignment="1">
      <alignment wrapText="1"/>
    </xf>
    <xf numFmtId="0" fontId="0" fillId="0" borderId="12" xfId="0" applyBorder="1"/>
    <xf numFmtId="0" fontId="0" fillId="6" borderId="12" xfId="0" applyFill="1" applyBorder="1"/>
    <xf numFmtId="0" fontId="0" fillId="0" borderId="20" xfId="0" applyFill="1" applyBorder="1"/>
    <xf numFmtId="164" fontId="0" fillId="0" borderId="9" xfId="0" applyNumberFormat="1" applyFill="1" applyBorder="1"/>
    <xf numFmtId="0" fontId="2" fillId="0" borderId="0" xfId="0" applyFont="1" applyFill="1" applyAlignment="1">
      <alignment horizontal="center"/>
    </xf>
    <xf numFmtId="0" fontId="2" fillId="0" borderId="17" xfId="0" applyFont="1" applyFill="1" applyBorder="1" applyAlignment="1">
      <alignment horizontal="left"/>
    </xf>
    <xf numFmtId="164" fontId="0" fillId="0" borderId="8" xfId="0" applyNumberFormat="1" applyBorder="1"/>
    <xf numFmtId="0" fontId="2" fillId="0" borderId="0" xfId="0" applyFont="1"/>
    <xf numFmtId="165" fontId="2" fillId="0" borderId="0" xfId="1" applyNumberFormat="1" applyFont="1"/>
    <xf numFmtId="0" fontId="2" fillId="7" borderId="20" xfId="0" applyFont="1" applyFill="1" applyBorder="1"/>
    <xf numFmtId="0" fontId="2" fillId="8" borderId="0" xfId="0" applyFont="1" applyFill="1" applyBorder="1" applyAlignment="1">
      <alignment horizontal="center"/>
    </xf>
    <xf numFmtId="0" fontId="2" fillId="6" borderId="21" xfId="0" applyFont="1" applyFill="1" applyBorder="1" applyAlignment="1"/>
    <xf numFmtId="0" fontId="0" fillId="6" borderId="9" xfId="0" applyFill="1" applyBorder="1"/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8" borderId="0" xfId="0" applyFont="1" applyFill="1" applyBorder="1" applyAlignment="1">
      <alignment horizontal="center" wrapText="1"/>
    </xf>
    <xf numFmtId="0" fontId="1" fillId="0" borderId="0" xfId="9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0" fillId="0" borderId="2" xfId="0" applyBorder="1" applyAlignment="1">
      <alignment horizontal="right"/>
    </xf>
    <xf numFmtId="164" fontId="0" fillId="0" borderId="0" xfId="2" applyNumberFormat="1" applyFont="1" applyBorder="1" applyAlignment="1">
      <alignment horizontal="right"/>
    </xf>
    <xf numFmtId="164" fontId="2" fillId="0" borderId="0" xfId="2" applyNumberFormat="1" applyFont="1" applyBorder="1" applyAlignment="1">
      <alignment horizontal="right"/>
    </xf>
    <xf numFmtId="164" fontId="2" fillId="8" borderId="0" xfId="2" applyNumberFormat="1" applyFont="1" applyFill="1" applyBorder="1" applyAlignment="1">
      <alignment horizontal="right"/>
    </xf>
    <xf numFmtId="164" fontId="2" fillId="0" borderId="4" xfId="2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164" fontId="2" fillId="0" borderId="7" xfId="2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8" borderId="0" xfId="0" applyNumberFormat="1" applyFont="1" applyFill="1" applyBorder="1" applyAlignment="1">
      <alignment horizontal="right"/>
    </xf>
    <xf numFmtId="0" fontId="0" fillId="8" borderId="0" xfId="0" applyFill="1" applyBorder="1"/>
    <xf numFmtId="17" fontId="2" fillId="9" borderId="20" xfId="0" quotePrefix="1" applyNumberFormat="1" applyFont="1" applyFill="1" applyBorder="1"/>
    <xf numFmtId="0" fontId="2" fillId="9" borderId="21" xfId="0" applyFont="1" applyFill="1" applyBorder="1" applyAlignment="1"/>
    <xf numFmtId="0" fontId="0" fillId="9" borderId="9" xfId="0" applyFill="1" applyBorder="1"/>
    <xf numFmtId="0" fontId="0" fillId="9" borderId="2" xfId="0" applyFill="1" applyBorder="1"/>
    <xf numFmtId="0" fontId="0" fillId="9" borderId="0" xfId="0" applyFill="1" applyBorder="1" applyAlignment="1">
      <alignment horizontal="center" wrapText="1"/>
    </xf>
    <xf numFmtId="0" fontId="2" fillId="9" borderId="0" xfId="0" applyFont="1" applyFill="1" applyBorder="1" applyAlignment="1">
      <alignment horizontal="center" wrapText="1"/>
    </xf>
    <xf numFmtId="0" fontId="1" fillId="9" borderId="0" xfId="9" applyFill="1" applyBorder="1" applyAlignment="1">
      <alignment horizontal="center" wrapText="1"/>
    </xf>
    <xf numFmtId="0" fontId="2" fillId="9" borderId="4" xfId="0" applyFont="1" applyFill="1" applyBorder="1" applyAlignment="1">
      <alignment wrapText="1"/>
    </xf>
    <xf numFmtId="0" fontId="0" fillId="9" borderId="2" xfId="0" applyFill="1" applyBorder="1" applyAlignment="1">
      <alignment horizontal="right"/>
    </xf>
    <xf numFmtId="164" fontId="2" fillId="9" borderId="0" xfId="2" applyNumberFormat="1" applyFont="1" applyFill="1" applyBorder="1" applyAlignment="1">
      <alignment horizontal="right"/>
    </xf>
    <xf numFmtId="164" fontId="2" fillId="9" borderId="4" xfId="2" applyNumberFormat="1" applyFont="1" applyFill="1" applyBorder="1" applyAlignment="1">
      <alignment horizontal="right"/>
    </xf>
    <xf numFmtId="0" fontId="0" fillId="9" borderId="6" xfId="0" applyFill="1" applyBorder="1" applyAlignment="1">
      <alignment horizontal="right"/>
    </xf>
    <xf numFmtId="164" fontId="2" fillId="9" borderId="7" xfId="2" applyNumberFormat="1" applyFont="1" applyFill="1" applyBorder="1" applyAlignment="1">
      <alignment horizontal="right"/>
    </xf>
    <xf numFmtId="164" fontId="2" fillId="9" borderId="7" xfId="0" applyNumberFormat="1" applyFont="1" applyFill="1" applyBorder="1" applyAlignment="1">
      <alignment horizontal="right"/>
    </xf>
    <xf numFmtId="17" fontId="2" fillId="6" borderId="20" xfId="0" quotePrefix="1" applyNumberFormat="1" applyFont="1" applyFill="1" applyBorder="1"/>
    <xf numFmtId="164" fontId="0" fillId="0" borderId="4" xfId="2" applyNumberFormat="1" applyFont="1" applyBorder="1" applyAlignment="1">
      <alignment horizontal="right"/>
    </xf>
    <xf numFmtId="164" fontId="2" fillId="0" borderId="8" xfId="2" applyNumberFormat="1" applyFont="1" applyBorder="1" applyAlignment="1">
      <alignment horizontal="right"/>
    </xf>
    <xf numFmtId="0" fontId="2" fillId="0" borderId="21" xfId="0" applyFont="1" applyFill="1" applyBorder="1" applyAlignment="1">
      <alignment horizontal="center"/>
    </xf>
    <xf numFmtId="0" fontId="0" fillId="0" borderId="9" xfId="0" applyBorder="1"/>
    <xf numFmtId="9" fontId="0" fillId="0" borderId="0" xfId="3" applyFont="1" applyFill="1" applyBorder="1" applyAlignment="1">
      <alignment horizontal="right"/>
    </xf>
    <xf numFmtId="9" fontId="0" fillId="0" borderId="0" xfId="3" applyFont="1" applyBorder="1" applyAlignment="1">
      <alignment horizontal="right"/>
    </xf>
    <xf numFmtId="9" fontId="0" fillId="8" borderId="0" xfId="3" applyFont="1" applyFill="1" applyBorder="1" applyAlignment="1">
      <alignment horizontal="right"/>
    </xf>
    <xf numFmtId="9" fontId="0" fillId="0" borderId="4" xfId="3" applyFont="1" applyBorder="1" applyAlignment="1">
      <alignment horizontal="right"/>
    </xf>
    <xf numFmtId="9" fontId="0" fillId="0" borderId="7" xfId="3" applyFont="1" applyBorder="1" applyAlignment="1">
      <alignment horizontal="right"/>
    </xf>
    <xf numFmtId="9" fontId="0" fillId="0" borderId="8" xfId="3" applyFont="1" applyBorder="1" applyAlignment="1">
      <alignment horizontal="right"/>
    </xf>
    <xf numFmtId="0" fontId="0" fillId="10" borderId="0" xfId="0" applyFill="1"/>
    <xf numFmtId="0" fontId="0" fillId="4" borderId="0" xfId="0" applyFill="1" applyBorder="1"/>
    <xf numFmtId="0" fontId="0" fillId="5" borderId="0" xfId="0" applyFill="1" applyBorder="1"/>
    <xf numFmtId="2" fontId="0" fillId="0" borderId="0" xfId="0" applyNumberFormat="1"/>
    <xf numFmtId="0" fontId="0" fillId="0" borderId="0" xfId="0" applyFont="1"/>
    <xf numFmtId="167" fontId="0" fillId="0" borderId="0" xfId="3" applyNumberFormat="1" applyFont="1" applyBorder="1"/>
    <xf numFmtId="167" fontId="0" fillId="0" borderId="12" xfId="3" applyNumberFormat="1" applyFont="1" applyBorder="1"/>
    <xf numFmtId="0" fontId="0" fillId="0" borderId="7" xfId="0" applyBorder="1"/>
    <xf numFmtId="165" fontId="0" fillId="5" borderId="0" xfId="1" applyNumberFormat="1" applyFont="1" applyFill="1" applyBorder="1"/>
    <xf numFmtId="0" fontId="2" fillId="6" borderId="20" xfId="0" applyFont="1" applyFill="1" applyBorder="1"/>
    <xf numFmtId="167" fontId="0" fillId="0" borderId="3" xfId="3" applyNumberFormat="1" applyFont="1" applyBorder="1"/>
    <xf numFmtId="164" fontId="0" fillId="0" borderId="8" xfId="2" applyNumberFormat="1" applyFont="1" applyBorder="1"/>
    <xf numFmtId="164" fontId="0" fillId="0" borderId="7" xfId="0" applyNumberFormat="1" applyBorder="1"/>
    <xf numFmtId="164" fontId="2" fillId="0" borderId="7" xfId="2" applyNumberFormat="1" applyFont="1" applyBorder="1"/>
    <xf numFmtId="164" fontId="2" fillId="0" borderId="7" xfId="0" applyNumberFormat="1" applyFont="1" applyBorder="1"/>
    <xf numFmtId="165" fontId="0" fillId="0" borderId="0" xfId="0" applyNumberFormat="1" applyBorder="1"/>
    <xf numFmtId="165" fontId="0" fillId="10" borderId="0" xfId="1" applyNumberFormat="1" applyFont="1" applyFill="1" applyBorder="1"/>
    <xf numFmtId="165" fontId="0" fillId="4" borderId="0" xfId="1" applyNumberFormat="1" applyFont="1" applyFill="1" applyBorder="1"/>
    <xf numFmtId="164" fontId="0" fillId="3" borderId="0" xfId="1" applyNumberFormat="1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164" fontId="2" fillId="0" borderId="0" xfId="0" applyNumberFormat="1" applyFont="1" applyBorder="1"/>
    <xf numFmtId="9" fontId="0" fillId="0" borderId="0" xfId="3" applyFont="1" applyBorder="1"/>
    <xf numFmtId="9" fontId="0" fillId="0" borderId="8" xfId="3" applyFont="1" applyBorder="1"/>
    <xf numFmtId="9" fontId="0" fillId="0" borderId="7" xfId="3" applyFont="1" applyBorder="1"/>
    <xf numFmtId="9" fontId="0" fillId="0" borderId="4" xfId="3" applyFont="1" applyBorder="1"/>
    <xf numFmtId="164" fontId="0" fillId="0" borderId="4" xfId="3" applyNumberFormat="1" applyFont="1" applyBorder="1"/>
    <xf numFmtId="164" fontId="0" fillId="0" borderId="0" xfId="3" applyNumberFormat="1" applyFont="1" applyBorder="1"/>
    <xf numFmtId="164" fontId="0" fillId="0" borderId="8" xfId="3" applyNumberFormat="1" applyFont="1" applyBorder="1"/>
    <xf numFmtId="164" fontId="0" fillId="0" borderId="7" xfId="3" applyNumberFormat="1" applyFont="1" applyBorder="1"/>
    <xf numFmtId="164" fontId="0" fillId="2" borderId="0" xfId="3" applyNumberFormat="1" applyFont="1" applyFill="1" applyBorder="1"/>
    <xf numFmtId="164" fontId="2" fillId="0" borderId="0" xfId="2" applyNumberFormat="1" applyFont="1" applyFill="1" applyBorder="1"/>
    <xf numFmtId="164" fontId="2" fillId="9" borderId="7" xfId="2" applyNumberFormat="1" applyFont="1" applyFill="1" applyBorder="1"/>
    <xf numFmtId="0" fontId="0" fillId="9" borderId="6" xfId="0" applyFill="1" applyBorder="1"/>
    <xf numFmtId="44" fontId="0" fillId="0" borderId="0" xfId="0" applyNumberFormat="1"/>
    <xf numFmtId="0" fontId="2" fillId="9" borderId="0" xfId="0" applyFont="1" applyFill="1" applyBorder="1" applyAlignment="1">
      <alignment wrapText="1"/>
    </xf>
    <xf numFmtId="0" fontId="0" fillId="9" borderId="0" xfId="0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/>
    <xf numFmtId="9" fontId="10" fillId="0" borderId="0" xfId="3" applyFont="1" applyBorder="1"/>
    <xf numFmtId="164" fontId="10" fillId="0" borderId="0" xfId="0" applyNumberFormat="1" applyFont="1" applyBorder="1"/>
    <xf numFmtId="9" fontId="11" fillId="0" borderId="8" xfId="3" applyFont="1" applyBorder="1"/>
    <xf numFmtId="164" fontId="0" fillId="0" borderId="12" xfId="0" applyNumberFormat="1" applyBorder="1"/>
    <xf numFmtId="9" fontId="12" fillId="0" borderId="4" xfId="3" applyFont="1" applyFill="1" applyBorder="1"/>
    <xf numFmtId="164" fontId="0" fillId="0" borderId="3" xfId="0" applyNumberFormat="1" applyBorder="1"/>
    <xf numFmtId="165" fontId="0" fillId="0" borderId="3" xfId="1" applyNumberFormat="1" applyFont="1" applyFill="1" applyBorder="1"/>
    <xf numFmtId="9" fontId="11" fillId="0" borderId="10" xfId="3" applyFont="1" applyBorder="1"/>
    <xf numFmtId="164" fontId="0" fillId="0" borderId="14" xfId="0" applyNumberFormat="1" applyBorder="1"/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wrapText="1"/>
    </xf>
    <xf numFmtId="0" fontId="2" fillId="0" borderId="17" xfId="0" applyFont="1" applyBorder="1" applyAlignment="1">
      <alignment horizontal="left"/>
    </xf>
    <xf numFmtId="164" fontId="0" fillId="0" borderId="0" xfId="2" applyNumberFormat="1" applyFont="1"/>
    <xf numFmtId="164" fontId="0" fillId="2" borderId="4" xfId="0" applyNumberFormat="1" applyFill="1" applyBorder="1"/>
    <xf numFmtId="2" fontId="13" fillId="0" borderId="0" xfId="0" applyNumberFormat="1" applyFont="1"/>
    <xf numFmtId="9" fontId="0" fillId="0" borderId="0" xfId="0" applyNumberFormat="1" applyFill="1" applyBorder="1"/>
    <xf numFmtId="2" fontId="8" fillId="0" borderId="0" xfId="0" applyNumberFormat="1" applyFont="1"/>
    <xf numFmtId="164" fontId="0" fillId="2" borderId="20" xfId="2" applyNumberFormat="1" applyFont="1" applyFill="1" applyBorder="1"/>
    <xf numFmtId="0" fontId="2" fillId="2" borderId="17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4" fontId="1" fillId="0" borderId="0" xfId="13" applyNumberFormat="1" applyFont="1"/>
    <xf numFmtId="165" fontId="1" fillId="0" borderId="0" xfId="14" applyNumberFormat="1" applyFont="1"/>
    <xf numFmtId="165" fontId="1" fillId="0" borderId="0" xfId="14" applyNumberFormat="1" applyFont="1" applyFill="1"/>
    <xf numFmtId="0" fontId="2" fillId="6" borderId="20" xfId="0" applyFont="1" applyFill="1" applyBorder="1" applyAlignment="1"/>
    <xf numFmtId="0" fontId="1" fillId="0" borderId="2" xfId="9" applyBorder="1" applyAlignment="1">
      <alignment horizontal="center" wrapText="1"/>
    </xf>
    <xf numFmtId="164" fontId="0" fillId="0" borderId="2" xfId="2" applyNumberFormat="1" applyFont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164" fontId="2" fillId="0" borderId="6" xfId="2" applyNumberFormat="1" applyFont="1" applyBorder="1" applyAlignment="1">
      <alignment horizontal="right"/>
    </xf>
    <xf numFmtId="164" fontId="2" fillId="0" borderId="8" xfId="0" applyNumberFormat="1" applyFont="1" applyBorder="1"/>
    <xf numFmtId="164" fontId="0" fillId="2" borderId="8" xfId="2" applyNumberFormat="1" applyFont="1" applyFill="1" applyBorder="1"/>
    <xf numFmtId="49" fontId="14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0" fillId="0" borderId="0" xfId="0" applyNumberFormat="1"/>
    <xf numFmtId="49" fontId="0" fillId="0" borderId="31" xfId="0" applyNumberFormat="1" applyBorder="1" applyAlignment="1">
      <alignment horizontal="centerContinuous"/>
    </xf>
    <xf numFmtId="49" fontId="14" fillId="0" borderId="3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5" fillId="0" borderId="0" xfId="0" applyNumberFormat="1" applyFont="1"/>
    <xf numFmtId="166" fontId="15" fillId="0" borderId="7" xfId="0" applyNumberFormat="1" applyFont="1" applyBorder="1"/>
    <xf numFmtId="166" fontId="15" fillId="0" borderId="18" xfId="0" applyNumberFormat="1" applyFont="1" applyBorder="1"/>
    <xf numFmtId="166" fontId="15" fillId="0" borderId="21" xfId="0" applyNumberFormat="1" applyFont="1" applyBorder="1"/>
    <xf numFmtId="166" fontId="14" fillId="0" borderId="33" xfId="0" applyNumberFormat="1" applyFont="1" applyBorder="1"/>
    <xf numFmtId="0" fontId="14" fillId="0" borderId="0" xfId="0" applyFont="1"/>
    <xf numFmtId="0" fontId="14" fillId="0" borderId="0" xfId="0" applyNumberFormat="1" applyFont="1"/>
    <xf numFmtId="0" fontId="0" fillId="0" borderId="0" xfId="0" applyNumberFormat="1"/>
    <xf numFmtId="2" fontId="0" fillId="0" borderId="0" xfId="0" applyNumberFormat="1" applyBorder="1"/>
    <xf numFmtId="164" fontId="0" fillId="9" borderId="0" xfId="2" applyNumberFormat="1" applyFont="1" applyFill="1" applyBorder="1"/>
    <xf numFmtId="164" fontId="0" fillId="9" borderId="4" xfId="2" applyNumberFormat="1" applyFont="1" applyFill="1" applyBorder="1"/>
    <xf numFmtId="165" fontId="0" fillId="9" borderId="0" xfId="1" applyNumberFormat="1" applyFont="1" applyFill="1" applyBorder="1"/>
    <xf numFmtId="164" fontId="0" fillId="2" borderId="23" xfId="0" applyNumberFormat="1" applyFill="1" applyBorder="1"/>
    <xf numFmtId="165" fontId="1" fillId="0" borderId="0" xfId="1" applyNumberFormat="1" applyFont="1" applyFill="1" applyBorder="1"/>
    <xf numFmtId="164" fontId="0" fillId="9" borderId="0" xfId="2" applyNumberFormat="1" applyFont="1" applyFill="1" applyBorder="1" applyAlignment="1">
      <alignment horizontal="right"/>
    </xf>
    <xf numFmtId="165" fontId="0" fillId="9" borderId="0" xfId="1" applyNumberFormat="1" applyFont="1" applyFill="1" applyBorder="1" applyAlignment="1">
      <alignment horizontal="right"/>
    </xf>
    <xf numFmtId="40" fontId="16" fillId="0" borderId="0" xfId="0" applyNumberFormat="1" applyFont="1" applyAlignment="1">
      <alignment horizontal="center" wrapText="1"/>
    </xf>
    <xf numFmtId="40" fontId="16" fillId="0" borderId="7" xfId="1" applyNumberFormat="1" applyFont="1" applyBorder="1" applyAlignment="1">
      <alignment horizontal="center" wrapText="1"/>
    </xf>
    <xf numFmtId="40" fontId="16" fillId="0" borderId="7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164" fontId="2" fillId="9" borderId="7" xfId="0" applyNumberFormat="1" applyFont="1" applyFill="1" applyBorder="1"/>
    <xf numFmtId="164" fontId="2" fillId="9" borderId="8" xfId="2" applyNumberFormat="1" applyFont="1" applyFill="1" applyBorder="1"/>
    <xf numFmtId="165" fontId="1" fillId="0" borderId="3" xfId="1" applyNumberFormat="1" applyFont="1" applyFill="1" applyBorder="1" applyAlignment="1">
      <alignment horizontal="center"/>
    </xf>
    <xf numFmtId="164" fontId="2" fillId="0" borderId="12" xfId="2" applyNumberFormat="1" applyFont="1" applyFill="1" applyBorder="1" applyAlignment="1">
      <alignment horizontal="center"/>
    </xf>
    <xf numFmtId="164" fontId="1" fillId="0" borderId="5" xfId="2" applyNumberFormat="1" applyFont="1" applyFill="1" applyBorder="1" applyAlignment="1">
      <alignment horizontal="center"/>
    </xf>
    <xf numFmtId="4" fontId="0" fillId="0" borderId="0" xfId="0" applyNumberFormat="1"/>
    <xf numFmtId="49" fontId="14" fillId="0" borderId="31" xfId="0" applyNumberFormat="1" applyFont="1" applyBorder="1" applyAlignment="1">
      <alignment horizontal="center"/>
    </xf>
    <xf numFmtId="44" fontId="0" fillId="0" borderId="0" xfId="0" applyNumberFormat="1" applyBorder="1"/>
    <xf numFmtId="0" fontId="10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10" fillId="2" borderId="0" xfId="0" applyNumberFormat="1" applyFont="1" applyFill="1" applyBorder="1"/>
    <xf numFmtId="165" fontId="10" fillId="2" borderId="0" xfId="1" applyNumberFormat="1" applyFont="1" applyFill="1" applyBorder="1"/>
    <xf numFmtId="0" fontId="8" fillId="2" borderId="0" xfId="0" applyFont="1" applyFill="1" applyBorder="1"/>
    <xf numFmtId="165" fontId="8" fillId="2" borderId="0" xfId="1" applyNumberFormat="1" applyFont="1" applyFill="1" applyBorder="1"/>
    <xf numFmtId="164" fontId="8" fillId="2" borderId="0" xfId="0" applyNumberFormat="1" applyFont="1" applyFill="1" applyBorder="1"/>
    <xf numFmtId="165" fontId="10" fillId="2" borderId="0" xfId="0" applyNumberFormat="1" applyFont="1" applyFill="1" applyBorder="1"/>
    <xf numFmtId="9" fontId="0" fillId="0" borderId="0" xfId="3" applyFont="1"/>
    <xf numFmtId="165" fontId="2" fillId="2" borderId="26" xfId="1" applyNumberFormat="1" applyFont="1" applyFill="1" applyBorder="1"/>
    <xf numFmtId="164" fontId="0" fillId="2" borderId="14" xfId="0" applyNumberFormat="1" applyFill="1" applyBorder="1"/>
    <xf numFmtId="0" fontId="2" fillId="2" borderId="29" xfId="0" applyFont="1" applyFill="1" applyBorder="1" applyAlignment="1">
      <alignment horizontal="center" wrapText="1"/>
    </xf>
    <xf numFmtId="164" fontId="0" fillId="2" borderId="26" xfId="0" applyNumberFormat="1" applyFill="1" applyBorder="1"/>
    <xf numFmtId="164" fontId="0" fillId="0" borderId="5" xfId="2" applyNumberFormat="1" applyFont="1" applyBorder="1"/>
    <xf numFmtId="164" fontId="0" fillId="0" borderId="3" xfId="2" applyNumberFormat="1" applyFont="1" applyBorder="1"/>
    <xf numFmtId="164" fontId="0" fillId="0" borderId="14" xfId="2" applyNumberFormat="1" applyFont="1" applyBorder="1"/>
    <xf numFmtId="164" fontId="0" fillId="0" borderId="14" xfId="2" applyNumberFormat="1" applyFont="1" applyFill="1" applyBorder="1"/>
    <xf numFmtId="164" fontId="3" fillId="0" borderId="3" xfId="2" applyNumberFormat="1" applyFont="1" applyBorder="1" applyAlignment="1">
      <alignment horizontal="right" vertical="center"/>
    </xf>
    <xf numFmtId="164" fontId="0" fillId="0" borderId="12" xfId="2" applyNumberFormat="1" applyFont="1" applyFill="1" applyBorder="1"/>
    <xf numFmtId="164" fontId="0" fillId="2" borderId="34" xfId="2" applyNumberFormat="1" applyFont="1" applyFill="1" applyBorder="1"/>
    <xf numFmtId="164" fontId="0" fillId="2" borderId="11" xfId="2" applyNumberFormat="1" applyFont="1" applyFill="1" applyBorder="1"/>
    <xf numFmtId="0" fontId="0" fillId="2" borderId="11" xfId="0" applyFill="1" applyBorder="1"/>
    <xf numFmtId="164" fontId="3" fillId="2" borderId="11" xfId="2" applyNumberFormat="1" applyFont="1" applyFill="1" applyBorder="1" applyAlignment="1">
      <alignment horizontal="right" vertical="center"/>
    </xf>
    <xf numFmtId="165" fontId="2" fillId="2" borderId="27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164" fontId="2" fillId="2" borderId="16" xfId="2" applyNumberFormat="1" applyFont="1" applyFill="1" applyBorder="1"/>
    <xf numFmtId="165" fontId="0" fillId="2" borderId="27" xfId="0" applyNumberFormat="1" applyFill="1" applyBorder="1"/>
    <xf numFmtId="164" fontId="2" fillId="2" borderId="35" xfId="0" applyNumberFormat="1" applyFont="1" applyFill="1" applyBorder="1"/>
    <xf numFmtId="165" fontId="0" fillId="2" borderId="11" xfId="1" applyNumberFormat="1" applyFont="1" applyFill="1" applyBorder="1"/>
    <xf numFmtId="164" fontId="1" fillId="2" borderId="11" xfId="2" applyNumberFormat="1" applyFont="1" applyFill="1" applyBorder="1"/>
    <xf numFmtId="9" fontId="9" fillId="2" borderId="0" xfId="3" applyFont="1" applyFill="1" applyBorder="1"/>
    <xf numFmtId="164" fontId="0" fillId="2" borderId="37" xfId="2" applyNumberFormat="1" applyFont="1" applyFill="1" applyBorder="1"/>
    <xf numFmtId="0" fontId="20" fillId="2" borderId="0" xfId="0" applyFont="1" applyFill="1"/>
    <xf numFmtId="164" fontId="13" fillId="2" borderId="0" xfId="0" applyNumberFormat="1" applyFont="1" applyFill="1" applyBorder="1"/>
    <xf numFmtId="0" fontId="0" fillId="0" borderId="0" xfId="0" applyBorder="1"/>
    <xf numFmtId="40" fontId="15" fillId="0" borderId="0" xfId="0" applyNumberFormat="1" applyFont="1"/>
    <xf numFmtId="40" fontId="17" fillId="0" borderId="0" xfId="1" applyNumberFormat="1" applyFont="1"/>
    <xf numFmtId="40" fontId="17" fillId="0" borderId="0" xfId="0" applyNumberFormat="1" applyFont="1"/>
    <xf numFmtId="40" fontId="15" fillId="0" borderId="0" xfId="0" applyNumberFormat="1" applyFont="1" applyBorder="1"/>
    <xf numFmtId="40" fontId="17" fillId="0" borderId="7" xfId="1" applyNumberFormat="1" applyFont="1" applyBorder="1"/>
    <xf numFmtId="40" fontId="17" fillId="0" borderId="7" xfId="0" applyNumberFormat="1" applyFont="1" applyBorder="1"/>
    <xf numFmtId="40" fontId="14" fillId="0" borderId="0" xfId="0" applyNumberFormat="1" applyFont="1" applyBorder="1"/>
    <xf numFmtId="40" fontId="16" fillId="0" borderId="0" xfId="0" applyNumberFormat="1" applyFont="1"/>
    <xf numFmtId="40" fontId="17" fillId="0" borderId="0" xfId="0" applyNumberFormat="1" applyFont="1" applyBorder="1"/>
    <xf numFmtId="40" fontId="16" fillId="0" borderId="0" xfId="0" applyNumberFormat="1" applyFont="1" applyBorder="1"/>
    <xf numFmtId="40" fontId="14" fillId="0" borderId="7" xfId="0" applyNumberFormat="1" applyFont="1" applyBorder="1"/>
    <xf numFmtId="40" fontId="16" fillId="0" borderId="7" xfId="0" applyNumberFormat="1" applyFont="1" applyBorder="1"/>
    <xf numFmtId="40" fontId="17" fillId="0" borderId="0" xfId="1" applyNumberFormat="1" applyFont="1" applyBorder="1"/>
    <xf numFmtId="164" fontId="0" fillId="0" borderId="27" xfId="0" applyNumberFormat="1" applyFill="1" applyBorder="1"/>
    <xf numFmtId="0" fontId="7" fillId="0" borderId="0" xfId="0" applyFont="1" applyFill="1"/>
    <xf numFmtId="0" fontId="2" fillId="0" borderId="21" xfId="0" applyFont="1" applyFill="1" applyBorder="1" applyAlignment="1">
      <alignment wrapText="1"/>
    </xf>
    <xf numFmtId="164" fontId="0" fillId="0" borderId="24" xfId="2" applyNumberFormat="1" applyFont="1" applyFill="1" applyBorder="1"/>
    <xf numFmtId="164" fontId="0" fillId="0" borderId="2" xfId="2" applyNumberFormat="1" applyFont="1" applyFill="1" applyBorder="1"/>
    <xf numFmtId="0" fontId="2" fillId="0" borderId="2" xfId="0" applyFont="1" applyFill="1" applyBorder="1"/>
    <xf numFmtId="164" fontId="0" fillId="0" borderId="11" xfId="2" applyNumberFormat="1" applyFont="1" applyFill="1" applyBorder="1"/>
    <xf numFmtId="164" fontId="0" fillId="0" borderId="0" xfId="0" applyNumberFormat="1" applyFill="1"/>
    <xf numFmtId="0" fontId="2" fillId="0" borderId="21" xfId="0" applyFont="1" applyFill="1" applyBorder="1" applyAlignment="1">
      <alignment horizontal="center" wrapText="1"/>
    </xf>
    <xf numFmtId="0" fontId="0" fillId="0" borderId="0" xfId="0"/>
    <xf numFmtId="0" fontId="14" fillId="0" borderId="0" xfId="0" applyNumberFormat="1" applyFont="1"/>
    <xf numFmtId="0" fontId="0" fillId="0" borderId="0" xfId="0" applyNumberFormat="1"/>
    <xf numFmtId="49" fontId="1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6" fontId="15" fillId="0" borderId="0" xfId="0" applyNumberFormat="1" applyFont="1" applyBorder="1"/>
    <xf numFmtId="166" fontId="15" fillId="0" borderId="0" xfId="0" applyNumberFormat="1" applyFont="1"/>
    <xf numFmtId="0" fontId="0" fillId="0" borderId="2" xfId="0" applyFont="1" applyBorder="1"/>
    <xf numFmtId="0" fontId="0" fillId="0" borderId="20" xfId="0" applyBorder="1"/>
    <xf numFmtId="49" fontId="14" fillId="0" borderId="0" xfId="0" applyNumberFormat="1" applyFont="1"/>
    <xf numFmtId="0" fontId="12" fillId="0" borderId="0" xfId="0" applyFont="1" applyFill="1" applyBorder="1"/>
    <xf numFmtId="40" fontId="16" fillId="0" borderId="39" xfId="0" applyNumberFormat="1" applyFont="1" applyBorder="1"/>
    <xf numFmtId="0" fontId="13" fillId="0" borderId="0" xfId="0" applyFont="1"/>
    <xf numFmtId="164" fontId="0" fillId="0" borderId="34" xfId="2" applyNumberFormat="1" applyFont="1" applyFill="1" applyBorder="1"/>
    <xf numFmtId="44" fontId="0" fillId="2" borderId="11" xfId="2" applyFont="1" applyFill="1" applyBorder="1"/>
    <xf numFmtId="0" fontId="2" fillId="0" borderId="0" xfId="0" applyFont="1" applyFill="1"/>
    <xf numFmtId="4" fontId="0" fillId="0" borderId="4" xfId="0" applyNumberFormat="1" applyBorder="1"/>
    <xf numFmtId="4" fontId="0" fillId="0" borderId="2" xfId="0" applyNumberFormat="1" applyBorder="1"/>
    <xf numFmtId="165" fontId="0" fillId="0" borderId="0" xfId="0" applyNumberFormat="1"/>
    <xf numFmtId="0" fontId="0" fillId="0" borderId="20" xfId="0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40" fontId="14" fillId="0" borderId="0" xfId="0" applyNumberFormat="1" applyFont="1" applyFill="1" applyBorder="1"/>
    <xf numFmtId="166" fontId="17" fillId="0" borderId="24" xfId="1" applyNumberFormat="1" applyFont="1" applyFill="1" applyBorder="1"/>
    <xf numFmtId="40" fontId="16" fillId="0" borderId="39" xfId="0" applyNumberFormat="1" applyFont="1" applyFill="1" applyBorder="1"/>
    <xf numFmtId="40" fontId="17" fillId="0" borderId="0" xfId="0" applyNumberFormat="1" applyFont="1" applyFill="1"/>
    <xf numFmtId="0" fontId="2" fillId="6" borderId="21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40" fontId="15" fillId="0" borderId="0" xfId="0" applyNumberFormat="1" applyFont="1" applyFill="1" applyBorder="1"/>
    <xf numFmtId="166" fontId="0" fillId="0" borderId="0" xfId="0" applyNumberFormat="1" applyBorder="1"/>
    <xf numFmtId="0" fontId="13" fillId="0" borderId="21" xfId="0" applyFont="1" applyBorder="1" applyAlignment="1">
      <alignment horizontal="center"/>
    </xf>
    <xf numFmtId="0" fontId="22" fillId="0" borderId="0" xfId="0" applyFont="1"/>
    <xf numFmtId="164" fontId="0" fillId="2" borderId="9" xfId="0" applyNumberFormat="1" applyFill="1" applyBorder="1"/>
    <xf numFmtId="164" fontId="0" fillId="11" borderId="4" xfId="0" applyNumberFormat="1" applyFill="1" applyBorder="1"/>
    <xf numFmtId="164" fontId="0" fillId="2" borderId="8" xfId="0" applyNumberFormat="1" applyFill="1" applyBorder="1"/>
    <xf numFmtId="164" fontId="2" fillId="2" borderId="19" xfId="0" applyNumberFormat="1" applyFont="1" applyFill="1" applyBorder="1"/>
    <xf numFmtId="164" fontId="2" fillId="2" borderId="4" xfId="2" applyNumberFormat="1" applyFont="1" applyFill="1" applyBorder="1"/>
    <xf numFmtId="164" fontId="2" fillId="2" borderId="4" xfId="0" applyNumberFormat="1" applyFont="1" applyFill="1" applyBorder="1"/>
    <xf numFmtId="165" fontId="0" fillId="0" borderId="3" xfId="0" applyNumberFormat="1" applyFill="1" applyBorder="1"/>
    <xf numFmtId="0" fontId="2" fillId="0" borderId="5" xfId="0" applyFont="1" applyFill="1" applyBorder="1" applyAlignment="1">
      <alignment horizontal="center" wrapText="1"/>
    </xf>
    <xf numFmtId="0" fontId="13" fillId="0" borderId="0" xfId="0" applyFont="1" applyFill="1"/>
    <xf numFmtId="164" fontId="0" fillId="0" borderId="22" xfId="2" applyNumberFormat="1" applyFont="1" applyFill="1" applyBorder="1"/>
    <xf numFmtId="165" fontId="0" fillId="0" borderId="5" xfId="0" applyNumberFormat="1" applyFill="1" applyBorder="1"/>
    <xf numFmtId="165" fontId="2" fillId="0" borderId="12" xfId="1" applyNumberFormat="1" applyFont="1" applyBorder="1"/>
    <xf numFmtId="0" fontId="0" fillId="0" borderId="7" xfId="0" applyFill="1" applyBorder="1"/>
    <xf numFmtId="0" fontId="0" fillId="0" borderId="21" xfId="0" applyFill="1" applyBorder="1"/>
    <xf numFmtId="0" fontId="0" fillId="0" borderId="23" xfId="0" applyFill="1" applyBorder="1"/>
    <xf numFmtId="0" fontId="0" fillId="2" borderId="21" xfId="0" applyFill="1" applyBorder="1"/>
    <xf numFmtId="164" fontId="2" fillId="2" borderId="12" xfId="0" applyNumberFormat="1" applyFont="1" applyFill="1" applyBorder="1"/>
    <xf numFmtId="0" fontId="0" fillId="2" borderId="1" xfId="0" applyFill="1" applyBorder="1"/>
    <xf numFmtId="165" fontId="13" fillId="0" borderId="0" xfId="0" applyNumberFormat="1" applyFont="1" applyFill="1"/>
    <xf numFmtId="43" fontId="0" fillId="0" borderId="22" xfId="0" applyNumberFormat="1" applyFill="1" applyBorder="1"/>
    <xf numFmtId="1" fontId="0" fillId="0" borderId="3" xfId="0" applyNumberFormat="1" applyFill="1" applyBorder="1"/>
    <xf numFmtId="0" fontId="0" fillId="7" borderId="0" xfId="0" applyFill="1"/>
    <xf numFmtId="164" fontId="0" fillId="7" borderId="0" xfId="0" applyNumberFormat="1" applyFill="1" applyBorder="1"/>
    <xf numFmtId="164" fontId="0" fillId="7" borderId="22" xfId="0" applyNumberFormat="1" applyFill="1" applyBorder="1"/>
    <xf numFmtId="164" fontId="0" fillId="7" borderId="4" xfId="2" applyNumberFormat="1" applyFont="1" applyFill="1" applyBorder="1"/>
    <xf numFmtId="164" fontId="2" fillId="7" borderId="1" xfId="2" applyNumberFormat="1" applyFont="1" applyFill="1" applyBorder="1"/>
    <xf numFmtId="164" fontId="0" fillId="7" borderId="3" xfId="2" applyNumberFormat="1" applyFont="1" applyFill="1" applyBorder="1"/>
    <xf numFmtId="165" fontId="0" fillId="7" borderId="3" xfId="1" applyNumberFormat="1" applyFont="1" applyFill="1" applyBorder="1"/>
    <xf numFmtId="164" fontId="2" fillId="7" borderId="14" xfId="2" applyNumberFormat="1" applyFont="1" applyFill="1" applyBorder="1"/>
    <xf numFmtId="164" fontId="2" fillId="7" borderId="12" xfId="2" applyNumberFormat="1" applyFont="1" applyFill="1" applyBorder="1"/>
    <xf numFmtId="164" fontId="0" fillId="7" borderId="0" xfId="2" applyNumberFormat="1" applyFont="1" applyFill="1" applyBorder="1"/>
    <xf numFmtId="165" fontId="0" fillId="7" borderId="0" xfId="1" applyNumberFormat="1" applyFont="1" applyFill="1" applyBorder="1"/>
    <xf numFmtId="165" fontId="0" fillId="7" borderId="0" xfId="0" applyNumberFormat="1" applyFill="1" applyBorder="1"/>
    <xf numFmtId="164" fontId="2" fillId="7" borderId="7" xfId="2" applyNumberFormat="1" applyFont="1" applyFill="1" applyBorder="1"/>
    <xf numFmtId="164" fontId="2" fillId="7" borderId="7" xfId="0" applyNumberFormat="1" applyFont="1" applyFill="1" applyBorder="1"/>
    <xf numFmtId="164" fontId="2" fillId="7" borderId="8" xfId="2" applyNumberFormat="1" applyFont="1" applyFill="1" applyBorder="1"/>
    <xf numFmtId="0" fontId="0" fillId="7" borderId="2" xfId="0" applyFill="1" applyBorder="1"/>
    <xf numFmtId="0" fontId="0" fillId="7" borderId="0" xfId="0" applyFill="1" applyBorder="1" applyAlignment="1">
      <alignment wrapText="1"/>
    </xf>
    <xf numFmtId="0" fontId="2" fillId="7" borderId="0" xfId="0" applyFont="1" applyFill="1" applyBorder="1" applyAlignment="1">
      <alignment wrapText="1"/>
    </xf>
    <xf numFmtId="0" fontId="2" fillId="7" borderId="4" xfId="0" applyFont="1" applyFill="1" applyBorder="1" applyAlignment="1">
      <alignment wrapText="1"/>
    </xf>
    <xf numFmtId="0" fontId="0" fillId="7" borderId="6" xfId="0" applyFill="1" applyBorder="1"/>
    <xf numFmtId="164" fontId="0" fillId="7" borderId="22" xfId="2" applyNumberFormat="1" applyFont="1" applyFill="1" applyBorder="1"/>
    <xf numFmtId="165" fontId="1" fillId="7" borderId="0" xfId="1" applyNumberFormat="1" applyFont="1" applyFill="1" applyBorder="1"/>
    <xf numFmtId="164" fontId="2" fillId="7" borderId="0" xfId="2" applyNumberFormat="1" applyFont="1" applyFill="1" applyBorder="1"/>
    <xf numFmtId="164" fontId="2" fillId="7" borderId="0" xfId="0" applyNumberFormat="1" applyFont="1" applyFill="1" applyBorder="1"/>
    <xf numFmtId="165" fontId="0" fillId="7" borderId="22" xfId="0" applyNumberFormat="1" applyFill="1" applyBorder="1"/>
    <xf numFmtId="165" fontId="2" fillId="7" borderId="7" xfId="1" applyNumberFormat="1" applyFont="1" applyFill="1" applyBorder="1"/>
    <xf numFmtId="164" fontId="0" fillId="7" borderId="2" xfId="0" applyNumberFormat="1" applyFill="1" applyBorder="1"/>
    <xf numFmtId="164" fontId="0" fillId="7" borderId="6" xfId="0" applyNumberFormat="1" applyFill="1" applyBorder="1"/>
    <xf numFmtId="164" fontId="0" fillId="7" borderId="4" xfId="0" applyNumberFormat="1" applyFill="1" applyBorder="1"/>
    <xf numFmtId="165" fontId="0" fillId="7" borderId="4" xfId="0" applyNumberFormat="1" applyFill="1" applyBorder="1"/>
    <xf numFmtId="165" fontId="0" fillId="7" borderId="4" xfId="1" applyNumberFormat="1" applyFont="1" applyFill="1" applyBorder="1"/>
    <xf numFmtId="0" fontId="2" fillId="6" borderId="2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164" fontId="0" fillId="6" borderId="29" xfId="2" applyNumberFormat="1" applyFont="1" applyFill="1" applyBorder="1"/>
    <xf numFmtId="164" fontId="0" fillId="6" borderId="5" xfId="0" applyNumberFormat="1" applyFill="1" applyBorder="1"/>
    <xf numFmtId="164" fontId="0" fillId="6" borderId="24" xfId="0" applyNumberFormat="1" applyFill="1" applyBorder="1"/>
    <xf numFmtId="164" fontId="0" fillId="6" borderId="3" xfId="0" applyNumberFormat="1" applyFill="1" applyBorder="1"/>
    <xf numFmtId="164" fontId="0" fillId="6" borderId="25" xfId="0" applyNumberFormat="1" applyFill="1" applyBorder="1"/>
    <xf numFmtId="164" fontId="0" fillId="6" borderId="14" xfId="2" applyNumberFormat="1" applyFont="1" applyFill="1" applyBorder="1"/>
    <xf numFmtId="164" fontId="0" fillId="6" borderId="3" xfId="2" applyNumberFormat="1" applyFont="1" applyFill="1" applyBorder="1"/>
    <xf numFmtId="164" fontId="0" fillId="6" borderId="14" xfId="0" applyNumberFormat="1" applyFill="1" applyBorder="1"/>
    <xf numFmtId="0" fontId="0" fillId="6" borderId="24" xfId="0" applyFill="1" applyBorder="1"/>
    <xf numFmtId="0" fontId="0" fillId="6" borderId="3" xfId="0" applyFill="1" applyBorder="1"/>
    <xf numFmtId="164" fontId="0" fillId="6" borderId="24" xfId="2" applyNumberFormat="1" applyFont="1" applyFill="1" applyBorder="1"/>
    <xf numFmtId="165" fontId="0" fillId="6" borderId="3" xfId="0" applyNumberFormat="1" applyFill="1" applyBorder="1"/>
    <xf numFmtId="164" fontId="2" fillId="6" borderId="36" xfId="0" applyNumberFormat="1" applyFont="1" applyFill="1" applyBorder="1"/>
    <xf numFmtId="164" fontId="0" fillId="6" borderId="5" xfId="2" applyNumberFormat="1" applyFont="1" applyFill="1" applyBorder="1"/>
    <xf numFmtId="164" fontId="0" fillId="6" borderId="25" xfId="2" applyNumberFormat="1" applyFont="1" applyFill="1" applyBorder="1"/>
    <xf numFmtId="164" fontId="2" fillId="6" borderId="25" xfId="2" applyNumberFormat="1" applyFont="1" applyFill="1" applyBorder="1"/>
    <xf numFmtId="164" fontId="2" fillId="6" borderId="24" xfId="2" applyNumberFormat="1" applyFont="1" applyFill="1" applyBorder="1"/>
    <xf numFmtId="164" fontId="0" fillId="6" borderId="26" xfId="0" applyNumberFormat="1" applyFill="1" applyBorder="1"/>
    <xf numFmtId="164" fontId="0" fillId="6" borderId="12" xfId="0" applyNumberFormat="1" applyFill="1" applyBorder="1"/>
    <xf numFmtId="165" fontId="0" fillId="6" borderId="24" xfId="1" applyNumberFormat="1" applyFont="1" applyFill="1" applyBorder="1"/>
    <xf numFmtId="164" fontId="2" fillId="6" borderId="25" xfId="0" applyNumberFormat="1" applyFont="1" applyFill="1" applyBorder="1"/>
    <xf numFmtId="165" fontId="2" fillId="6" borderId="14" xfId="0" applyNumberFormat="1" applyFont="1" applyFill="1" applyBorder="1"/>
    <xf numFmtId="164" fontId="2" fillId="6" borderId="26" xfId="0" applyNumberFormat="1" applyFont="1" applyFill="1" applyBorder="1"/>
    <xf numFmtId="0" fontId="2" fillId="6" borderId="12" xfId="0" applyFont="1" applyFill="1" applyBorder="1"/>
    <xf numFmtId="0" fontId="2" fillId="6" borderId="18" xfId="0" applyFont="1" applyFill="1" applyBorder="1" applyAlignment="1">
      <alignment wrapText="1"/>
    </xf>
    <xf numFmtId="164" fontId="2" fillId="6" borderId="14" xfId="2" applyNumberFormat="1" applyFont="1" applyFill="1" applyBorder="1"/>
    <xf numFmtId="165" fontId="0" fillId="6" borderId="24" xfId="0" applyNumberFormat="1" applyFill="1" applyBorder="1"/>
    <xf numFmtId="165" fontId="2" fillId="6" borderId="23" xfId="0" applyNumberFormat="1" applyFont="1" applyFill="1" applyBorder="1"/>
    <xf numFmtId="166" fontId="14" fillId="0" borderId="18" xfId="0" applyNumberFormat="1" applyFont="1" applyBorder="1"/>
    <xf numFmtId="166" fontId="17" fillId="0" borderId="26" xfId="1" applyNumberFormat="1" applyFont="1" applyFill="1" applyBorder="1"/>
    <xf numFmtId="166" fontId="0" fillId="12" borderId="0" xfId="0" applyNumberFormat="1" applyFill="1" applyBorder="1"/>
    <xf numFmtId="49" fontId="0" fillId="0" borderId="0" xfId="0" applyNumberForma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9" applyFont="1" applyBorder="1" applyAlignment="1">
      <alignment horizontal="center" wrapText="1"/>
    </xf>
    <xf numFmtId="0" fontId="0" fillId="9" borderId="0" xfId="0" applyFill="1" applyBorder="1"/>
    <xf numFmtId="0" fontId="0" fillId="9" borderId="0" xfId="9" applyFont="1" applyFill="1" applyBorder="1" applyAlignment="1">
      <alignment horizontal="center" wrapText="1"/>
    </xf>
    <xf numFmtId="164" fontId="0" fillId="6" borderId="0" xfId="0" applyNumberFormat="1" applyFill="1" applyBorder="1"/>
    <xf numFmtId="44" fontId="0" fillId="2" borderId="3" xfId="2" applyFont="1" applyFill="1" applyBorder="1"/>
    <xf numFmtId="164" fontId="3" fillId="0" borderId="4" xfId="2" applyNumberFormat="1" applyFont="1" applyFill="1" applyBorder="1" applyAlignment="1">
      <alignment horizontal="right" vertical="center"/>
    </xf>
    <xf numFmtId="164" fontId="21" fillId="0" borderId="0" xfId="2" applyNumberFormat="1" applyFont="1" applyFill="1" applyBorder="1"/>
    <xf numFmtId="164" fontId="13" fillId="0" borderId="0" xfId="0" applyNumberFormat="1" applyFont="1" applyFill="1"/>
    <xf numFmtId="44" fontId="13" fillId="0" borderId="0" xfId="2" applyFont="1" applyFill="1"/>
    <xf numFmtId="44" fontId="13" fillId="0" borderId="0" xfId="0" applyNumberFormat="1" applyFont="1" applyFill="1"/>
    <xf numFmtId="0" fontId="9" fillId="0" borderId="0" xfId="0" applyFont="1" applyFill="1"/>
    <xf numFmtId="0" fontId="0" fillId="0" borderId="5" xfId="0" applyFill="1" applyBorder="1"/>
    <xf numFmtId="164" fontId="3" fillId="0" borderId="30" xfId="2" applyNumberFormat="1" applyFont="1" applyFill="1" applyBorder="1" applyAlignment="1">
      <alignment horizontal="right" vertical="center"/>
    </xf>
    <xf numFmtId="165" fontId="0" fillId="13" borderId="0" xfId="1" applyNumberFormat="1" applyFont="1" applyFill="1" applyBorder="1"/>
    <xf numFmtId="0" fontId="0" fillId="13" borderId="2" xfId="0" applyFill="1" applyBorder="1"/>
    <xf numFmtId="164" fontId="0" fillId="13" borderId="0" xfId="2" applyNumberFormat="1" applyFont="1" applyFill="1" applyBorder="1"/>
    <xf numFmtId="164" fontId="3" fillId="7" borderId="0" xfId="2" applyNumberFormat="1" applyFont="1" applyFill="1" applyBorder="1" applyAlignment="1">
      <alignment horizontal="right" vertical="center"/>
    </xf>
    <xf numFmtId="164" fontId="1" fillId="7" borderId="0" xfId="2" applyNumberFormat="1" applyFont="1" applyFill="1" applyBorder="1"/>
    <xf numFmtId="164" fontId="0" fillId="7" borderId="39" xfId="2" applyNumberFormat="1" applyFont="1" applyFill="1" applyBorder="1"/>
    <xf numFmtId="164" fontId="2" fillId="7" borderId="8" xfId="0" applyNumberFormat="1" applyFont="1" applyFill="1" applyBorder="1"/>
    <xf numFmtId="44" fontId="0" fillId="9" borderId="0" xfId="2" applyFont="1" applyFill="1" applyBorder="1" applyAlignment="1">
      <alignment horizontal="right"/>
    </xf>
    <xf numFmtId="164" fontId="3" fillId="0" borderId="11" xfId="2" applyNumberFormat="1" applyFont="1" applyFill="1" applyBorder="1" applyAlignment="1">
      <alignment horizontal="right" vertical="center"/>
    </xf>
    <xf numFmtId="164" fontId="3" fillId="0" borderId="3" xfId="2" applyNumberFormat="1" applyFont="1" applyFill="1" applyBorder="1" applyAlignment="1">
      <alignment horizontal="right" vertical="center"/>
    </xf>
    <xf numFmtId="164" fontId="2" fillId="0" borderId="16" xfId="2" applyNumberFormat="1" applyFont="1" applyFill="1" applyBorder="1"/>
    <xf numFmtId="164" fontId="2" fillId="0" borderId="24" xfId="2" applyNumberFormat="1" applyFont="1" applyFill="1" applyBorder="1"/>
    <xf numFmtId="164" fontId="2" fillId="0" borderId="25" xfId="2" applyNumberFormat="1" applyFont="1" applyFill="1" applyBorder="1"/>
    <xf numFmtId="164" fontId="0" fillId="0" borderId="0" xfId="2" applyNumberFormat="1" applyFont="1" applyFill="1"/>
    <xf numFmtId="164" fontId="1" fillId="2" borderId="2" xfId="2" applyNumberFormat="1" applyFont="1" applyFill="1" applyBorder="1"/>
    <xf numFmtId="164" fontId="0" fillId="2" borderId="44" xfId="2" applyNumberFormat="1" applyFont="1" applyFill="1" applyBorder="1"/>
    <xf numFmtId="0" fontId="0" fillId="2" borderId="44" xfId="0" applyFill="1" applyBorder="1"/>
    <xf numFmtId="0" fontId="0" fillId="2" borderId="45" xfId="0" applyFill="1" applyBorder="1"/>
    <xf numFmtId="164" fontId="2" fillId="2" borderId="2" xfId="2" applyNumberFormat="1" applyFont="1" applyFill="1" applyBorder="1" applyAlignment="1">
      <alignment horizontal="left"/>
    </xf>
    <xf numFmtId="164" fontId="2" fillId="2" borderId="6" xfId="2" applyNumberFormat="1" applyFont="1" applyFill="1" applyBorder="1"/>
    <xf numFmtId="164" fontId="0" fillId="0" borderId="45" xfId="2" applyNumberFormat="1" applyFont="1" applyFill="1" applyBorder="1"/>
    <xf numFmtId="164" fontId="0" fillId="2" borderId="13" xfId="2" applyNumberFormat="1" applyFont="1" applyFill="1" applyBorder="1"/>
    <xf numFmtId="164" fontId="2" fillId="2" borderId="13" xfId="0" applyNumberFormat="1" applyFont="1" applyFill="1" applyBorder="1"/>
    <xf numFmtId="164" fontId="0" fillId="2" borderId="13" xfId="0" applyNumberFormat="1" applyFill="1" applyBorder="1"/>
    <xf numFmtId="164" fontId="0" fillId="2" borderId="21" xfId="2" applyNumberFormat="1" applyFont="1" applyFill="1" applyBorder="1"/>
    <xf numFmtId="164" fontId="0" fillId="2" borderId="21" xfId="0" applyNumberFormat="1" applyFill="1" applyBorder="1"/>
    <xf numFmtId="164" fontId="0" fillId="2" borderId="9" xfId="2" applyNumberFormat="1" applyFont="1" applyFill="1" applyBorder="1"/>
    <xf numFmtId="164" fontId="2" fillId="2" borderId="10" xfId="2" applyNumberFormat="1" applyFont="1" applyFill="1" applyBorder="1"/>
    <xf numFmtId="164" fontId="2" fillId="2" borderId="10" xfId="0" applyNumberFormat="1" applyFont="1" applyFill="1" applyBorder="1"/>
    <xf numFmtId="0" fontId="0" fillId="0" borderId="46" xfId="0" applyFill="1" applyBorder="1"/>
    <xf numFmtId="164" fontId="0" fillId="0" borderId="37" xfId="2" applyNumberFormat="1" applyFont="1" applyFill="1" applyBorder="1"/>
    <xf numFmtId="164" fontId="0" fillId="0" borderId="47" xfId="2" applyNumberFormat="1" applyFont="1" applyFill="1" applyBorder="1"/>
    <xf numFmtId="164" fontId="0" fillId="2" borderId="43" xfId="2" applyNumberFormat="1" applyFont="1" applyFill="1" applyBorder="1"/>
    <xf numFmtId="164" fontId="0" fillId="2" borderId="6" xfId="2" applyNumberFormat="1" applyFont="1" applyFill="1" applyBorder="1"/>
    <xf numFmtId="165" fontId="0" fillId="0" borderId="48" xfId="1" applyNumberFormat="1" applyFont="1" applyFill="1" applyBorder="1"/>
    <xf numFmtId="165" fontId="2" fillId="0" borderId="49" xfId="1" applyNumberFormat="1" applyFont="1" applyFill="1" applyBorder="1"/>
    <xf numFmtId="165" fontId="0" fillId="2" borderId="4" xfId="1" applyNumberFormat="1" applyFont="1" applyFill="1" applyBorder="1"/>
    <xf numFmtId="0" fontId="0" fillId="2" borderId="48" xfId="0" applyFill="1" applyBorder="1"/>
    <xf numFmtId="164" fontId="2" fillId="2" borderId="8" xfId="2" applyNumberFormat="1" applyFont="1" applyFill="1" applyBorder="1"/>
    <xf numFmtId="164" fontId="0" fillId="2" borderId="50" xfId="2" applyNumberFormat="1" applyFont="1" applyFill="1" applyBorder="1"/>
    <xf numFmtId="164" fontId="2" fillId="2" borderId="51" xfId="2" applyNumberFormat="1" applyFont="1" applyFill="1" applyBorder="1"/>
    <xf numFmtId="164" fontId="2" fillId="2" borderId="51" xfId="0" applyNumberFormat="1" applyFont="1" applyFill="1" applyBorder="1"/>
    <xf numFmtId="164" fontId="0" fillId="2" borderId="44" xfId="0" applyNumberFormat="1" applyFill="1" applyBorder="1"/>
    <xf numFmtId="164" fontId="2" fillId="0" borderId="42" xfId="2" applyNumberFormat="1" applyFont="1" applyFill="1" applyBorder="1"/>
    <xf numFmtId="164" fontId="1" fillId="2" borderId="44" xfId="2" applyNumberFormat="1" applyFont="1" applyFill="1" applyBorder="1"/>
    <xf numFmtId="164" fontId="2" fillId="2" borderId="42" xfId="2" applyNumberFormat="1" applyFont="1" applyFill="1" applyBorder="1"/>
    <xf numFmtId="164" fontId="2" fillId="2" borderId="45" xfId="2" applyNumberFormat="1" applyFont="1" applyFill="1" applyBorder="1"/>
    <xf numFmtId="164" fontId="2" fillId="2" borderId="38" xfId="2" applyNumberFormat="1" applyFont="1" applyFill="1" applyBorder="1"/>
    <xf numFmtId="164" fontId="2" fillId="2" borderId="49" xfId="2" applyNumberFormat="1" applyFont="1" applyFill="1" applyBorder="1"/>
    <xf numFmtId="164" fontId="2" fillId="2" borderId="27" xfId="2" applyNumberFormat="1" applyFont="1" applyFill="1" applyBorder="1"/>
    <xf numFmtId="165" fontId="2" fillId="0" borderId="11" xfId="1" applyNumberFormat="1" applyFont="1" applyFill="1" applyBorder="1"/>
    <xf numFmtId="164" fontId="2" fillId="0" borderId="44" xfId="2" applyNumberFormat="1" applyFont="1" applyFill="1" applyBorder="1"/>
    <xf numFmtId="165" fontId="2" fillId="0" borderId="4" xfId="1" applyNumberFormat="1" applyFont="1" applyFill="1" applyBorder="1"/>
    <xf numFmtId="0" fontId="2" fillId="0" borderId="52" xfId="0" applyFont="1" applyFill="1" applyBorder="1"/>
    <xf numFmtId="164" fontId="2" fillId="0" borderId="41" xfId="2" applyNumberFormat="1" applyFont="1" applyFill="1" applyBorder="1"/>
    <xf numFmtId="164" fontId="0" fillId="0" borderId="52" xfId="2" applyNumberFormat="1" applyFont="1" applyFill="1" applyBorder="1"/>
    <xf numFmtId="0" fontId="12" fillId="2" borderId="0" xfId="0" applyFont="1" applyFill="1" applyBorder="1"/>
    <xf numFmtId="165" fontId="0" fillId="2" borderId="24" xfId="1" applyNumberFormat="1" applyFont="1" applyFill="1" applyBorder="1"/>
    <xf numFmtId="164" fontId="0" fillId="2" borderId="24" xfId="0" applyNumberFormat="1" applyFill="1" applyBorder="1"/>
    <xf numFmtId="165" fontId="0" fillId="2" borderId="0" xfId="0" applyNumberFormat="1" applyFill="1" applyBorder="1"/>
    <xf numFmtId="44" fontId="0" fillId="2" borderId="24" xfId="2" applyFont="1" applyFill="1" applyBorder="1"/>
    <xf numFmtId="164" fontId="2" fillId="2" borderId="16" xfId="0" applyNumberFormat="1" applyFont="1" applyFill="1" applyBorder="1"/>
    <xf numFmtId="164" fontId="2" fillId="2" borderId="25" xfId="0" applyNumberFormat="1" applyFont="1" applyFill="1" applyBorder="1"/>
    <xf numFmtId="0" fontId="2" fillId="2" borderId="26" xfId="0" applyFont="1" applyFill="1" applyBorder="1"/>
    <xf numFmtId="0" fontId="2" fillId="2" borderId="12" xfId="0" applyFont="1" applyFill="1" applyBorder="1"/>
    <xf numFmtId="0" fontId="0" fillId="14" borderId="2" xfId="0" applyFill="1" applyBorder="1"/>
    <xf numFmtId="164" fontId="0" fillId="14" borderId="11" xfId="2" applyNumberFormat="1" applyFont="1" applyFill="1" applyBorder="1"/>
    <xf numFmtId="164" fontId="0" fillId="14" borderId="24" xfId="2" applyNumberFormat="1" applyFont="1" applyFill="1" applyBorder="1"/>
    <xf numFmtId="164" fontId="0" fillId="14" borderId="3" xfId="2" applyNumberFormat="1" applyFont="1" applyFill="1" applyBorder="1"/>
    <xf numFmtId="164" fontId="0" fillId="14" borderId="0" xfId="2" applyNumberFormat="1" applyFont="1" applyFill="1" applyBorder="1"/>
    <xf numFmtId="168" fontId="11" fillId="2" borderId="0" xfId="1" applyNumberFormat="1" applyFont="1" applyFill="1" applyBorder="1"/>
    <xf numFmtId="0" fontId="12" fillId="2" borderId="0" xfId="0" applyFont="1" applyFill="1"/>
    <xf numFmtId="165" fontId="12" fillId="2" borderId="0" xfId="0" applyNumberFormat="1" applyFont="1" applyFill="1"/>
    <xf numFmtId="165" fontId="11" fillId="2" borderId="0" xfId="1" applyNumberFormat="1" applyFont="1" applyFill="1" applyBorder="1"/>
    <xf numFmtId="168" fontId="0" fillId="2" borderId="0" xfId="0" applyNumberFormat="1" applyFill="1"/>
    <xf numFmtId="0" fontId="2" fillId="2" borderId="0" xfId="0" applyFont="1" applyFill="1" applyAlignment="1">
      <alignment horizontal="center"/>
    </xf>
    <xf numFmtId="0" fontId="20" fillId="2" borderId="0" xfId="0" applyFont="1" applyFill="1" applyBorder="1"/>
    <xf numFmtId="164" fontId="0" fillId="2" borderId="34" xfId="0" applyNumberFormat="1" applyFill="1" applyBorder="1"/>
    <xf numFmtId="165" fontId="0" fillId="2" borderId="11" xfId="0" applyNumberFormat="1" applyFill="1" applyBorder="1"/>
    <xf numFmtId="165" fontId="0" fillId="2" borderId="3" xfId="0" applyNumberFormat="1" applyFill="1" applyBorder="1"/>
    <xf numFmtId="164" fontId="2" fillId="2" borderId="35" xfId="2" applyNumberFormat="1" applyFont="1" applyFill="1" applyBorder="1"/>
    <xf numFmtId="164" fontId="2" fillId="2" borderId="36" xfId="0" applyNumberFormat="1" applyFont="1" applyFill="1" applyBorder="1"/>
    <xf numFmtId="164" fontId="2" fillId="2" borderId="23" xfId="0" applyNumberFormat="1" applyFont="1" applyFill="1" applyBorder="1"/>
    <xf numFmtId="164" fontId="2" fillId="2" borderId="22" xfId="2" applyNumberFormat="1" applyFont="1" applyFill="1" applyBorder="1"/>
    <xf numFmtId="164" fontId="2" fillId="2" borderId="23" xfId="2" applyNumberFormat="1" applyFont="1" applyFill="1" applyBorder="1"/>
    <xf numFmtId="0" fontId="2" fillId="2" borderId="5" xfId="0" applyFont="1" applyFill="1" applyBorder="1" applyAlignment="1">
      <alignment horizontal="center" wrapText="1"/>
    </xf>
    <xf numFmtId="164" fontId="0" fillId="2" borderId="15" xfId="2" applyNumberFormat="1" applyFont="1" applyFill="1" applyBorder="1"/>
    <xf numFmtId="164" fontId="3" fillId="2" borderId="0" xfId="2" applyNumberFormat="1" applyFont="1" applyFill="1" applyBorder="1" applyAlignment="1">
      <alignment horizontal="right" vertical="center"/>
    </xf>
    <xf numFmtId="164" fontId="2" fillId="2" borderId="22" xfId="0" applyNumberFormat="1" applyFont="1" applyFill="1" applyBorder="1"/>
    <xf numFmtId="4" fontId="0" fillId="0" borderId="6" xfId="0" applyNumberFormat="1" applyBorder="1"/>
    <xf numFmtId="166" fontId="0" fillId="0" borderId="7" xfId="0" applyNumberFormat="1" applyBorder="1"/>
    <xf numFmtId="4" fontId="0" fillId="0" borderId="8" xfId="0" applyNumberFormat="1" applyBorder="1"/>
    <xf numFmtId="4" fontId="0" fillId="12" borderId="2" xfId="0" applyNumberFormat="1" applyFill="1" applyBorder="1"/>
    <xf numFmtId="0" fontId="2" fillId="0" borderId="42" xfId="0" applyFont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0" fillId="0" borderId="42" xfId="0" applyBorder="1"/>
    <xf numFmtId="4" fontId="0" fillId="0" borderId="42" xfId="0" applyNumberFormat="1" applyBorder="1"/>
    <xf numFmtId="166" fontId="0" fillId="0" borderId="42" xfId="0" applyNumberFormat="1" applyBorder="1"/>
    <xf numFmtId="4" fontId="2" fillId="0" borderId="42" xfId="0" applyNumberFormat="1" applyFont="1" applyBorder="1"/>
    <xf numFmtId="44" fontId="1" fillId="2" borderId="11" xfId="2" applyFont="1" applyFill="1" applyBorder="1"/>
    <xf numFmtId="44" fontId="0" fillId="2" borderId="37" xfId="2" applyFont="1" applyFill="1" applyBorder="1"/>
    <xf numFmtId="44" fontId="0" fillId="0" borderId="40" xfId="2" applyFont="1" applyFill="1" applyBorder="1"/>
    <xf numFmtId="44" fontId="2" fillId="0" borderId="41" xfId="2" applyFont="1" applyFill="1" applyBorder="1"/>
    <xf numFmtId="44" fontId="0" fillId="4" borderId="0" xfId="0" applyNumberFormat="1" applyFill="1" applyBorder="1"/>
    <xf numFmtId="0" fontId="23" fillId="0" borderId="0" xfId="0" applyFont="1" applyFill="1" applyBorder="1"/>
    <xf numFmtId="164" fontId="0" fillId="15" borderId="34" xfId="0" applyNumberFormat="1" applyFill="1" applyBorder="1"/>
    <xf numFmtId="0" fontId="23" fillId="15" borderId="0" xfId="0" applyFont="1" applyFill="1" applyBorder="1"/>
    <xf numFmtId="165" fontId="0" fillId="0" borderId="11" xfId="0" applyNumberFormat="1" applyFill="1" applyBorder="1"/>
    <xf numFmtId="44" fontId="0" fillId="0" borderId="0" xfId="0" applyNumberFormat="1" applyFill="1" applyBorder="1"/>
    <xf numFmtId="164" fontId="0" fillId="4" borderId="0" xfId="0" applyNumberFormat="1" applyFill="1" applyBorder="1"/>
    <xf numFmtId="44" fontId="0" fillId="4" borderId="0" xfId="0" applyNumberFormat="1" applyFill="1"/>
    <xf numFmtId="164" fontId="2" fillId="4" borderId="0" xfId="0" applyNumberFormat="1" applyFont="1" applyFill="1" applyBorder="1"/>
    <xf numFmtId="0" fontId="2" fillId="4" borderId="0" xfId="0" applyFont="1" applyFill="1" applyBorder="1"/>
    <xf numFmtId="0" fontId="2" fillId="6" borderId="21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2" fillId="7" borderId="21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14" fillId="0" borderId="0" xfId="0" applyNumberFormat="1" applyFont="1" applyAlignment="1">
      <alignment horizontal="center"/>
    </xf>
    <xf numFmtId="0" fontId="14" fillId="0" borderId="11" xfId="0" applyNumberFormat="1" applyFont="1" applyBorder="1" applyAlignment="1">
      <alignment horizontal="center"/>
    </xf>
    <xf numFmtId="0" fontId="14" fillId="0" borderId="0" xfId="0" applyNumberFormat="1" applyFont="1" applyAlignment="1">
      <alignment horizontal="left"/>
    </xf>
    <xf numFmtId="0" fontId="14" fillId="0" borderId="11" xfId="0" applyNumberFormat="1" applyFont="1" applyBorder="1" applyAlignment="1">
      <alignment horizontal="left"/>
    </xf>
    <xf numFmtId="166" fontId="0" fillId="3" borderId="0" xfId="0" applyNumberFormat="1" applyFill="1"/>
    <xf numFmtId="4" fontId="0" fillId="3" borderId="0" xfId="0" applyNumberFormat="1" applyFill="1"/>
    <xf numFmtId="170" fontId="0" fillId="3" borderId="0" xfId="0" applyNumberFormat="1" applyFill="1"/>
    <xf numFmtId="170" fontId="0" fillId="7" borderId="0" xfId="0" applyNumberFormat="1" applyFill="1" applyBorder="1"/>
    <xf numFmtId="49" fontId="14" fillId="3" borderId="0" xfId="0" applyNumberFormat="1" applyFont="1" applyFill="1"/>
    <xf numFmtId="166" fontId="15" fillId="3" borderId="0" xfId="0" applyNumberFormat="1" applyFont="1" applyFill="1"/>
    <xf numFmtId="49" fontId="15" fillId="3" borderId="0" xfId="0" applyNumberFormat="1" applyFont="1" applyFill="1"/>
    <xf numFmtId="166" fontId="15" fillId="3" borderId="0" xfId="0" applyNumberFormat="1" applyFont="1" applyFill="1" applyBorder="1"/>
    <xf numFmtId="49" fontId="0" fillId="3" borderId="0" xfId="0" applyNumberFormat="1" applyFill="1" applyBorder="1" applyAlignment="1">
      <alignment horizontal="centerContinuous"/>
    </xf>
    <xf numFmtId="49" fontId="0" fillId="16" borderId="0" xfId="0" applyNumberFormat="1" applyFill="1" applyBorder="1" applyAlignment="1">
      <alignment horizontal="centerContinuous"/>
    </xf>
    <xf numFmtId="49" fontId="14" fillId="3" borderId="32" xfId="0" applyNumberFormat="1" applyFont="1" applyFill="1" applyBorder="1" applyAlignment="1">
      <alignment horizontal="center"/>
    </xf>
    <xf numFmtId="49" fontId="14" fillId="16" borderId="32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6" fontId="15" fillId="16" borderId="0" xfId="0" applyNumberFormat="1" applyFont="1" applyFill="1"/>
    <xf numFmtId="166" fontId="15" fillId="3" borderId="7" xfId="0" applyNumberFormat="1" applyFont="1" applyFill="1" applyBorder="1"/>
    <xf numFmtId="166" fontId="15" fillId="16" borderId="7" xfId="0" applyNumberFormat="1" applyFont="1" applyFill="1" applyBorder="1"/>
    <xf numFmtId="166" fontId="15" fillId="3" borderId="18" xfId="0" applyNumberFormat="1" applyFont="1" applyFill="1" applyBorder="1"/>
    <xf numFmtId="166" fontId="15" fillId="16" borderId="0" xfId="0" applyNumberFormat="1" applyFont="1" applyFill="1" applyBorder="1"/>
    <xf numFmtId="166" fontId="15" fillId="3" borderId="21" xfId="0" applyNumberFormat="1" applyFont="1" applyFill="1" applyBorder="1"/>
    <xf numFmtId="166" fontId="15" fillId="16" borderId="21" xfId="0" applyNumberFormat="1" applyFont="1" applyFill="1" applyBorder="1"/>
    <xf numFmtId="166" fontId="14" fillId="3" borderId="33" xfId="0" applyNumberFormat="1" applyFont="1" applyFill="1" applyBorder="1"/>
    <xf numFmtId="166" fontId="14" fillId="16" borderId="33" xfId="0" applyNumberFormat="1" applyFont="1" applyFill="1" applyBorder="1"/>
    <xf numFmtId="0" fontId="0" fillId="3" borderId="0" xfId="0" applyNumberFormat="1" applyFill="1"/>
    <xf numFmtId="0" fontId="0" fillId="16" borderId="0" xfId="0" applyNumberFormat="1" applyFill="1"/>
  </cellXfs>
  <cellStyles count="67">
    <cellStyle name="Comma" xfId="1" builtinId="3"/>
    <cellStyle name="Comma 2" xfId="17"/>
    <cellStyle name="Comma 2 2" xfId="22"/>
    <cellStyle name="Comma 2 2 2" xfId="23"/>
    <cellStyle name="Comma 2 3" xfId="24"/>
    <cellStyle name="Comma 3" xfId="19"/>
    <cellStyle name="Comma 4" xfId="4"/>
    <cellStyle name="Comma 5" xfId="12"/>
    <cellStyle name="Comma 5 2" xfId="14"/>
    <cellStyle name="Currency" xfId="2" builtinId="4"/>
    <cellStyle name="Currency 2" xfId="5"/>
    <cellStyle name="Currency 3" xfId="6"/>
    <cellStyle name="Currency 3 2" xfId="7"/>
    <cellStyle name="Currency 4" xfId="25"/>
    <cellStyle name="Currency 5" xfId="26"/>
    <cellStyle name="Currency 6" xfId="11"/>
    <cellStyle name="Currency 6 2" xfId="13"/>
    <cellStyle name="Normal" xfId="0" builtinId="0"/>
    <cellStyle name="Normal 10" xfId="27"/>
    <cellStyle name="Normal 10 2" xfId="28"/>
    <cellStyle name="Normal 11" xfId="29"/>
    <cellStyle name="Normal 11 2" xfId="30"/>
    <cellStyle name="Normal 12" xfId="31"/>
    <cellStyle name="Normal 12 2" xfId="32"/>
    <cellStyle name="Normal 13" xfId="33"/>
    <cellStyle name="Normal 13 2" xfId="34"/>
    <cellStyle name="Normal 14" xfId="35"/>
    <cellStyle name="Normal 14 2" xfId="36"/>
    <cellStyle name="Normal 15" xfId="37"/>
    <cellStyle name="Normal 15 2" xfId="38"/>
    <cellStyle name="Normal 16" xfId="39"/>
    <cellStyle name="Normal 16 2" xfId="40"/>
    <cellStyle name="Normal 17" xfId="41"/>
    <cellStyle name="Normal 17 2" xfId="42"/>
    <cellStyle name="Normal 18" xfId="43"/>
    <cellStyle name="Normal 18 2" xfId="44"/>
    <cellStyle name="Normal 19" xfId="45"/>
    <cellStyle name="Normal 19 2" xfId="46"/>
    <cellStyle name="Normal 2" xfId="8"/>
    <cellStyle name="Normal 2 2" xfId="47"/>
    <cellStyle name="Normal 20" xfId="16"/>
    <cellStyle name="Normal 20 2" xfId="48"/>
    <cellStyle name="Normal 20 2 2" xfId="49"/>
    <cellStyle name="Normal 20 3" xfId="50"/>
    <cellStyle name="Normal 21" xfId="51"/>
    <cellStyle name="Normal 22" xfId="52"/>
    <cellStyle name="Normal 23" xfId="10"/>
    <cellStyle name="Normal 23 2" xfId="9"/>
    <cellStyle name="Normal 24" xfId="53"/>
    <cellStyle name="Normal 3" xfId="15"/>
    <cellStyle name="Normal 3 2" xfId="54"/>
    <cellStyle name="Normal 4" xfId="20"/>
    <cellStyle name="Normal 4 2" xfId="55"/>
    <cellStyle name="Normal 5" xfId="56"/>
    <cellStyle name="Normal 5 2" xfId="57"/>
    <cellStyle name="Normal 6" xfId="58"/>
    <cellStyle name="Normal 6 2" xfId="59"/>
    <cellStyle name="Normal 7" xfId="60"/>
    <cellStyle name="Normal 7 2" xfId="61"/>
    <cellStyle name="Normal 8" xfId="62"/>
    <cellStyle name="Normal 8 2" xfId="63"/>
    <cellStyle name="Normal 9" xfId="64"/>
    <cellStyle name="Normal 9 2" xfId="65"/>
    <cellStyle name="Percent" xfId="3" builtinId="5"/>
    <cellStyle name="Percent 2" xfId="18"/>
    <cellStyle name="Percent 3" xfId="21"/>
    <cellStyle name="Percent 3 2" xfId="66"/>
  </cellStyles>
  <dxfs count="0"/>
  <tableStyles count="0" defaultTableStyle="TableStyleMedium2" defaultPivotStyle="PivotStyleLight16"/>
  <colors>
    <mruColors>
      <color rgb="FFE50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'LWVC-Stmt of Fin. Postn. by Mth'!$H$1:$AD$1</c:f>
              <c:strCache>
                <c:ptCount val="23"/>
                <c:pt idx="0">
                  <c:v>Oct 31, 19</c:v>
                </c:pt>
                <c:pt idx="2">
                  <c:v>Nov 30, 19</c:v>
                </c:pt>
                <c:pt idx="4">
                  <c:v>Dec 31, 19</c:v>
                </c:pt>
                <c:pt idx="6">
                  <c:v>Jan 31, 20</c:v>
                </c:pt>
                <c:pt idx="8">
                  <c:v>Feb 29, 20</c:v>
                </c:pt>
                <c:pt idx="10">
                  <c:v>Mar 31, 20</c:v>
                </c:pt>
                <c:pt idx="12">
                  <c:v>Apr 30, 20</c:v>
                </c:pt>
                <c:pt idx="14">
                  <c:v>May 31, 20</c:v>
                </c:pt>
                <c:pt idx="16">
                  <c:v>Jun 30, 20</c:v>
                </c:pt>
                <c:pt idx="18">
                  <c:v>Jul 31, 20</c:v>
                </c:pt>
                <c:pt idx="20">
                  <c:v>Aug 31, 20</c:v>
                </c:pt>
                <c:pt idx="22">
                  <c:v>Sep 30, 20</c:v>
                </c:pt>
              </c:strCache>
            </c:strRef>
          </c:cat>
          <c:val>
            <c:numRef>
              <c:f>'LWVC-Stmt of Fin. Postn. by Mth'!$H$13:$AD$13</c:f>
              <c:numCache>
                <c:formatCode>@</c:formatCode>
                <c:ptCount val="23"/>
                <c:pt idx="0" formatCode="#,##0.00;\-#,##0.00">
                  <c:v>194555.61</c:v>
                </c:pt>
                <c:pt idx="2" formatCode="#,##0.00;\-#,##0.00">
                  <c:v>169247.95</c:v>
                </c:pt>
                <c:pt idx="4" formatCode="#,##0.00;\-#,##0.00">
                  <c:v>142142.29999999999</c:v>
                </c:pt>
                <c:pt idx="6" formatCode="#,##0.00;\-#,##0.00">
                  <c:v>132114.75</c:v>
                </c:pt>
                <c:pt idx="8" formatCode="#,##0.00;\-#,##0.00">
                  <c:v>63432.800000000003</c:v>
                </c:pt>
                <c:pt idx="10" formatCode="#,##0.00;\-#,##0.00">
                  <c:v>110748.04</c:v>
                </c:pt>
                <c:pt idx="12" formatCode="#,##0.00;\-#,##0.00">
                  <c:v>102434.31</c:v>
                </c:pt>
                <c:pt idx="14" formatCode="#,##0.00;\-#,##0.00">
                  <c:v>143680.98000000001</c:v>
                </c:pt>
                <c:pt idx="16" formatCode="#,##0.00;\-#,##0.00">
                  <c:v>116289.76</c:v>
                </c:pt>
                <c:pt idx="18" formatCode="#,##0.00;\-#,##0.00">
                  <c:v>115810.96</c:v>
                </c:pt>
                <c:pt idx="20" formatCode="#,##0.00;\-#,##0.00">
                  <c:v>134200.70000000001</c:v>
                </c:pt>
                <c:pt idx="22" formatCode="#,##0.00;\-#,##0.00">
                  <c:v>191359.99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BF-4378-9F8D-6AD9B9AEE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747392"/>
        <c:axId val="168748928"/>
      </c:barChart>
      <c:catAx>
        <c:axId val="16874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8748928"/>
        <c:crosses val="autoZero"/>
        <c:auto val="1"/>
        <c:lblAlgn val="ctr"/>
        <c:lblOffset val="100"/>
        <c:noMultiLvlLbl val="0"/>
      </c:catAx>
      <c:valAx>
        <c:axId val="168748928"/>
        <c:scaling>
          <c:orientation val="minMax"/>
        </c:scaling>
        <c:delete val="0"/>
        <c:axPos val="l"/>
        <c:majorGridlines/>
        <c:numFmt formatCode="#,##0.00;\-#,##0.00" sourceLinked="1"/>
        <c:majorTickMark val="out"/>
        <c:minorTickMark val="none"/>
        <c:tickLblPos val="nextTo"/>
        <c:crossAx val="16874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'LWVCEF-Stmt of Fin. Pos. by mth'!$G$1:$AC$1</c:f>
              <c:strCache>
                <c:ptCount val="23"/>
                <c:pt idx="0">
                  <c:v>Oct 31, 19</c:v>
                </c:pt>
                <c:pt idx="2">
                  <c:v>Nov 30, 19</c:v>
                </c:pt>
                <c:pt idx="4">
                  <c:v>Dec 31, 19</c:v>
                </c:pt>
                <c:pt idx="6">
                  <c:v>Jan 31, 20</c:v>
                </c:pt>
                <c:pt idx="8">
                  <c:v>Feb 29, 20</c:v>
                </c:pt>
                <c:pt idx="10">
                  <c:v>Mar 31, 20</c:v>
                </c:pt>
                <c:pt idx="12">
                  <c:v>Apr 30, 20</c:v>
                </c:pt>
                <c:pt idx="14">
                  <c:v>May 31, 20</c:v>
                </c:pt>
                <c:pt idx="16">
                  <c:v>Jun 30, 20</c:v>
                </c:pt>
                <c:pt idx="18">
                  <c:v>Jul 31, 20</c:v>
                </c:pt>
                <c:pt idx="20">
                  <c:v>Aug 31, 20</c:v>
                </c:pt>
                <c:pt idx="22">
                  <c:v>Sep 30, 20</c:v>
                </c:pt>
              </c:strCache>
            </c:strRef>
          </c:cat>
          <c:val>
            <c:numRef>
              <c:f>'LWVCEF-Stmt of Fin. Pos. by mth'!$G$15:$AC$15</c:f>
              <c:numCache>
                <c:formatCode>@</c:formatCode>
                <c:ptCount val="23"/>
                <c:pt idx="0" formatCode="#,##0.00;\-#,##0.00">
                  <c:v>299766.45</c:v>
                </c:pt>
                <c:pt idx="2" formatCode="#,##0.00;\-#,##0.00">
                  <c:v>301814.75</c:v>
                </c:pt>
                <c:pt idx="4" formatCode="#,##0.00;\-#,##0.00">
                  <c:v>345249.6</c:v>
                </c:pt>
                <c:pt idx="6" formatCode="#,##0.00;\-#,##0.00">
                  <c:v>405859.82</c:v>
                </c:pt>
                <c:pt idx="8" formatCode="#,##0.00;\-#,##0.00">
                  <c:v>434410.36</c:v>
                </c:pt>
                <c:pt idx="10" formatCode="#,##0.00;\-#,##0.00">
                  <c:v>378079.12</c:v>
                </c:pt>
                <c:pt idx="12" formatCode="#,##0.00;\-#,##0.00">
                  <c:v>480454.38</c:v>
                </c:pt>
                <c:pt idx="14" formatCode="#,##0.00;\-#,##0.00">
                  <c:v>430409.78</c:v>
                </c:pt>
                <c:pt idx="16" formatCode="#,##0.00;\-#,##0.00">
                  <c:v>468766.48</c:v>
                </c:pt>
                <c:pt idx="18" formatCode="#,##0.00;\-#,##0.00">
                  <c:v>476013.84</c:v>
                </c:pt>
                <c:pt idx="20" formatCode="#,##0.00;\-#,##0.00">
                  <c:v>565550.32999999996</c:v>
                </c:pt>
                <c:pt idx="22" formatCode="#,##0.00;\-#,##0.00">
                  <c:v>501214.77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D2-46D8-82BD-8EC7C67BE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74176"/>
        <c:axId val="221488256"/>
      </c:barChart>
      <c:catAx>
        <c:axId val="22147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488256"/>
        <c:crosses val="autoZero"/>
        <c:auto val="1"/>
        <c:lblAlgn val="ctr"/>
        <c:lblOffset val="100"/>
        <c:noMultiLvlLbl val="0"/>
      </c:catAx>
      <c:valAx>
        <c:axId val="221488256"/>
        <c:scaling>
          <c:orientation val="minMax"/>
        </c:scaling>
        <c:delete val="0"/>
        <c:axPos val="l"/>
        <c:majorGridlines/>
        <c:numFmt formatCode="#,##0.00;\-#,##0.00" sourceLinked="1"/>
        <c:majorTickMark val="out"/>
        <c:minorTickMark val="none"/>
        <c:tickLblPos val="nextTo"/>
        <c:crossAx val="221474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4685039370081"/>
          <c:y val="5.3635483210810325E-2"/>
          <c:w val="0.86227537182852143"/>
          <c:h val="0.6661383075924703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'LWVCEF-Stmt of Fin. Pos. by mth'!$G$1:$AC$1</c:f>
              <c:strCache>
                <c:ptCount val="23"/>
                <c:pt idx="0">
                  <c:v>Oct 31, 19</c:v>
                </c:pt>
                <c:pt idx="2">
                  <c:v>Nov 30, 19</c:v>
                </c:pt>
                <c:pt idx="4">
                  <c:v>Dec 31, 19</c:v>
                </c:pt>
                <c:pt idx="6">
                  <c:v>Jan 31, 20</c:v>
                </c:pt>
                <c:pt idx="8">
                  <c:v>Feb 29, 20</c:v>
                </c:pt>
                <c:pt idx="10">
                  <c:v>Mar 31, 20</c:v>
                </c:pt>
                <c:pt idx="12">
                  <c:v>Apr 30, 20</c:v>
                </c:pt>
                <c:pt idx="14">
                  <c:v>May 31, 20</c:v>
                </c:pt>
                <c:pt idx="16">
                  <c:v>Jun 30, 20</c:v>
                </c:pt>
                <c:pt idx="18">
                  <c:v>Jul 31, 20</c:v>
                </c:pt>
                <c:pt idx="20">
                  <c:v>Aug 31, 20</c:v>
                </c:pt>
                <c:pt idx="22">
                  <c:v>Sep 30, 20</c:v>
                </c:pt>
              </c:strCache>
            </c:strRef>
          </c:cat>
          <c:val>
            <c:numRef>
              <c:f>'LWVCEF-Stmt of Fin. Pos. by mth'!$G$74:$AC$74</c:f>
              <c:numCache>
                <c:formatCode>@</c:formatCode>
                <c:ptCount val="23"/>
                <c:pt idx="0" formatCode="#,##0.00;\-#,##0.00">
                  <c:v>97647.25</c:v>
                </c:pt>
                <c:pt idx="2" formatCode="#,##0.00;\-#,##0.00">
                  <c:v>99415.62</c:v>
                </c:pt>
                <c:pt idx="4" formatCode="#,##0.00;\-#,##0.00">
                  <c:v>102736.09</c:v>
                </c:pt>
                <c:pt idx="6" formatCode="#,##0.00;\-#,##0.00">
                  <c:v>104354.26</c:v>
                </c:pt>
                <c:pt idx="8" formatCode="#,##0.00;\-#,##0.00">
                  <c:v>114764.26</c:v>
                </c:pt>
                <c:pt idx="10" formatCode="#,##0.00;\-#,##0.00">
                  <c:v>121644.26</c:v>
                </c:pt>
                <c:pt idx="12" formatCode="#,##0.00;\-#,##0.00">
                  <c:v>121813.48</c:v>
                </c:pt>
                <c:pt idx="14" formatCode="#,##0.00;\-#,##0.00">
                  <c:v>126224.73</c:v>
                </c:pt>
                <c:pt idx="16" formatCode="#,##0.00;\-#,##0.00">
                  <c:v>127977.73</c:v>
                </c:pt>
                <c:pt idx="18" formatCode="#,##0.00;\-#,##0.00">
                  <c:v>127444.1</c:v>
                </c:pt>
                <c:pt idx="20" formatCode="#,##0.00;\-#,##0.00">
                  <c:v>126208.8</c:v>
                </c:pt>
                <c:pt idx="22" formatCode="#,##0.00;\-#,##0.00">
                  <c:v>126699.87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C6-48A7-B68D-162C49F2A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844608"/>
        <c:axId val="221846144"/>
      </c:barChart>
      <c:catAx>
        <c:axId val="22184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846144"/>
        <c:crosses val="autoZero"/>
        <c:auto val="1"/>
        <c:lblAlgn val="ctr"/>
        <c:lblOffset val="100"/>
        <c:noMultiLvlLbl val="0"/>
      </c:catAx>
      <c:valAx>
        <c:axId val="221846144"/>
        <c:scaling>
          <c:orientation val="minMax"/>
        </c:scaling>
        <c:delete val="0"/>
        <c:axPos val="l"/>
        <c:majorGridlines/>
        <c:numFmt formatCode="#,##0.00;\-#,##0.00" sourceLinked="1"/>
        <c:majorTickMark val="out"/>
        <c:minorTickMark val="none"/>
        <c:tickLblPos val="nextTo"/>
        <c:crossAx val="221844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38100</xdr:rowOff>
    </xdr:to>
    <xdr:sp macro="" textlink="">
      <xdr:nvSpPr>
        <xdr:cNvPr id="6145" name="FILTER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="" xmlns:a16="http://schemas.microsoft.com/office/drawing/2014/main" id="{00000000-0008-0000-0200-00000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38100</xdr:rowOff>
    </xdr:to>
    <xdr:sp macro="" textlink="">
      <xdr:nvSpPr>
        <xdr:cNvPr id="6146" name="HEADER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="" xmlns:a16="http://schemas.microsoft.com/office/drawing/2014/main" id="{00000000-0008-0000-0200-00000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50177" name="FILTER" hidden="1">
          <a:extLst>
            <a:ext uri="{63B3BB69-23CF-44E3-9099-C40C66FF867C}">
              <a14:compatExt xmlns:a14="http://schemas.microsoft.com/office/drawing/2010/main" spid="_x0000_s50177"/>
            </a:ext>
            <a:ext uri="{FF2B5EF4-FFF2-40B4-BE49-F238E27FC236}">
              <a16:creationId xmlns="" xmlns:a16="http://schemas.microsoft.com/office/drawing/2014/main" id="{00000000-0008-0000-0300-000001C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50178" name="HEADER" hidden="1">
          <a:extLst>
            <a:ext uri="{63B3BB69-23CF-44E3-9099-C40C66FF867C}">
              <a14:compatExt xmlns:a14="http://schemas.microsoft.com/office/drawing/2010/main" spid="_x0000_s50178"/>
            </a:ext>
            <a:ext uri="{FF2B5EF4-FFF2-40B4-BE49-F238E27FC236}">
              <a16:creationId xmlns="" xmlns:a16="http://schemas.microsoft.com/office/drawing/2014/main" id="{00000000-0008-0000-0300-000002C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41985" name="FILTER" hidden="1">
          <a:extLst>
            <a:ext uri="{63B3BB69-23CF-44E3-9099-C40C66FF867C}">
              <a14:compatExt xmlns:a14="http://schemas.microsoft.com/office/drawing/2010/main" spid="_x0000_s41985"/>
            </a:ext>
            <a:ext uri="{FF2B5EF4-FFF2-40B4-BE49-F238E27FC236}">
              <a16:creationId xmlns="" xmlns:a16="http://schemas.microsoft.com/office/drawing/2014/main" id="{00000000-0008-0000-0400-000001A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41986" name="HEADER" hidden="1">
          <a:extLst>
            <a:ext uri="{63B3BB69-23CF-44E3-9099-C40C66FF867C}">
              <a14:compatExt xmlns:a14="http://schemas.microsoft.com/office/drawing/2010/main" spid="_x0000_s41986"/>
            </a:ext>
            <a:ext uri="{FF2B5EF4-FFF2-40B4-BE49-F238E27FC236}">
              <a16:creationId xmlns="" xmlns:a16="http://schemas.microsoft.com/office/drawing/2014/main" id="{00000000-0008-0000-0400-000002A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538161</xdr:colOff>
      <xdr:row>5</xdr:row>
      <xdr:rowOff>104780</xdr:rowOff>
    </xdr:from>
    <xdr:to>
      <xdr:col>38</xdr:col>
      <xdr:colOff>419099</xdr:colOff>
      <xdr:row>21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2289" name="TextBox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2290" name="TextBox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2291" name="TextBox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2292" name="TextBox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64513" name="FILTER" hidden="1">
          <a:extLst>
            <a:ext uri="{63B3BB69-23CF-44E3-9099-C40C66FF867C}">
              <a14:compatExt xmlns:a14="http://schemas.microsoft.com/office/drawing/2010/main" spid="_x0000_s64513"/>
            </a:ext>
            <a:ext uri="{FF2B5EF4-FFF2-40B4-BE49-F238E27FC236}">
              <a16:creationId xmlns="" xmlns:a16="http://schemas.microsoft.com/office/drawing/2014/main" id="{00000000-0008-0000-0800-000001F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64514" name="HEADER" hidden="1">
          <a:extLst>
            <a:ext uri="{63B3BB69-23CF-44E3-9099-C40C66FF867C}">
              <a14:compatExt xmlns:a14="http://schemas.microsoft.com/office/drawing/2010/main" spid="_x0000_s64514"/>
            </a:ext>
            <a:ext uri="{FF2B5EF4-FFF2-40B4-BE49-F238E27FC236}">
              <a16:creationId xmlns="" xmlns:a16="http://schemas.microsoft.com/office/drawing/2014/main" id="{00000000-0008-0000-0800-000002F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44033" name="FILTER" hidden="1">
          <a:extLst>
            <a:ext uri="{63B3BB69-23CF-44E3-9099-C40C66FF867C}">
              <a14:compatExt xmlns:a14="http://schemas.microsoft.com/office/drawing/2010/main" spid="_x0000_s44033"/>
            </a:ext>
            <a:ext uri="{FF2B5EF4-FFF2-40B4-BE49-F238E27FC236}">
              <a16:creationId xmlns="" xmlns:a16="http://schemas.microsoft.com/office/drawing/2014/main" id="{00000000-0008-0000-0900-000001A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44034" name="HEADER" hidden="1">
          <a:extLst>
            <a:ext uri="{63B3BB69-23CF-44E3-9099-C40C66FF867C}">
              <a14:compatExt xmlns:a14="http://schemas.microsoft.com/office/drawing/2010/main" spid="_x0000_s44034"/>
            </a:ext>
            <a:ext uri="{FF2B5EF4-FFF2-40B4-BE49-F238E27FC236}">
              <a16:creationId xmlns="" xmlns:a16="http://schemas.microsoft.com/office/drawing/2014/main" id="{00000000-0008-0000-0900-000002A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428625</xdr:colOff>
      <xdr:row>7</xdr:row>
      <xdr:rowOff>85731</xdr:rowOff>
    </xdr:from>
    <xdr:to>
      <xdr:col>37</xdr:col>
      <xdr:colOff>123825</xdr:colOff>
      <xdr:row>22</xdr:row>
      <xdr:rowOff>133356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257175</xdr:colOff>
      <xdr:row>66</xdr:row>
      <xdr:rowOff>38106</xdr:rowOff>
    </xdr:from>
    <xdr:to>
      <xdr:col>38</xdr:col>
      <xdr:colOff>561975</xdr:colOff>
      <xdr:row>80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114300</xdr:colOff>
      <xdr:row>0</xdr:row>
      <xdr:rowOff>228600</xdr:rowOff>
    </xdr:to>
    <xdr:sp macro="" textlink="">
      <xdr:nvSpPr>
        <xdr:cNvPr id="51201" name="FILTER" hidden="1">
          <a:extLst>
            <a:ext uri="{63B3BB69-23CF-44E3-9099-C40C66FF867C}">
              <a14:compatExt xmlns:a14="http://schemas.microsoft.com/office/drawing/2010/main" spid="_x0000_s51201"/>
            </a:ext>
            <a:ext uri="{FF2B5EF4-FFF2-40B4-BE49-F238E27FC236}">
              <a16:creationId xmlns="" xmlns:a16="http://schemas.microsoft.com/office/drawing/2014/main" id="{00000000-0008-0000-0A00-000001C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114300</xdr:colOff>
      <xdr:row>0</xdr:row>
      <xdr:rowOff>228600</xdr:rowOff>
    </xdr:to>
    <xdr:sp macro="" textlink="">
      <xdr:nvSpPr>
        <xdr:cNvPr id="51202" name="HEADER" hidden="1">
          <a:extLst>
            <a:ext uri="{63B3BB69-23CF-44E3-9099-C40C66FF867C}">
              <a14:compatExt xmlns:a14="http://schemas.microsoft.com/office/drawing/2010/main" spid="_x0000_s51202"/>
            </a:ext>
            <a:ext uri="{FF2B5EF4-FFF2-40B4-BE49-F238E27FC236}">
              <a16:creationId xmlns="" xmlns:a16="http://schemas.microsoft.com/office/drawing/2014/main" id="{00000000-0008-0000-0A00-000002C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114300</xdr:colOff>
      <xdr:row>0</xdr:row>
      <xdr:rowOff>228600</xdr:rowOff>
    </xdr:to>
    <xdr:sp macro="" textlink="">
      <xdr:nvSpPr>
        <xdr:cNvPr id="6" name="FILTER" hidden="1">
          <a:extLst>
            <a:ext uri="{63B3BB69-23CF-44E3-9099-C40C66FF867C}">
              <a14:compatExt xmlns:a14="http://schemas.microsoft.com/office/drawing/2010/main" spid="_x0000_s51201"/>
            </a:ext>
            <a:ext uri="{FF2B5EF4-FFF2-40B4-BE49-F238E27FC236}">
              <a16:creationId xmlns="" xmlns:a16="http://schemas.microsoft.com/office/drawing/2014/main" id="{00000000-0008-0000-0A00-000001C80000}"/>
            </a:ext>
          </a:extLst>
        </xdr:cNvPr>
        <xdr:cNvSpPr/>
      </xdr:nvSpPr>
      <xdr:spPr bwMode="auto">
        <a:xfrm>
          <a:off x="0" y="0"/>
          <a:ext cx="914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114300</xdr:colOff>
      <xdr:row>0</xdr:row>
      <xdr:rowOff>228600</xdr:rowOff>
    </xdr:to>
    <xdr:sp macro="" textlink="">
      <xdr:nvSpPr>
        <xdr:cNvPr id="7" name="HEADER" hidden="1">
          <a:extLst>
            <a:ext uri="{63B3BB69-23CF-44E3-9099-C40C66FF867C}">
              <a14:compatExt xmlns:a14="http://schemas.microsoft.com/office/drawing/2010/main" spid="_x0000_s51202"/>
            </a:ext>
            <a:ext uri="{FF2B5EF4-FFF2-40B4-BE49-F238E27FC236}">
              <a16:creationId xmlns="" xmlns:a16="http://schemas.microsoft.com/office/drawing/2014/main" id="{00000000-0008-0000-0A00-000002C80000}"/>
            </a:ext>
          </a:extLst>
        </xdr:cNvPr>
        <xdr:cNvSpPr/>
      </xdr:nvSpPr>
      <xdr:spPr bwMode="auto">
        <a:xfrm>
          <a:off x="0" y="0"/>
          <a:ext cx="9144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ie%20Venegas/Brook's%20Team%20Dropbox/LWVC/Finance%20FY%202019-2020/11.May%202020/LWVC%20Finance%20Committee%20Materials_May%20%202020/May%202020%20Financial%20Resul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nrestricted%20net%20income09.30.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ports"/>
      <sheetName val="LWVC Summary"/>
      <sheetName val="LWVC-Stmt of Act. by Class"/>
      <sheetName val="LWVC-Stmt of Activities by Mth"/>
      <sheetName val="LWVC-Stmt of Fin. Postn. by Mth"/>
      <sheetName val="LWVCEF Summary"/>
      <sheetName val="LWVCEF-Stmt.of Act. By Class"/>
      <sheetName val="LWVCEF-StmtofActbyClasswBudget"/>
      <sheetName val="LWVCEF-Stmt. of Act. by Month"/>
      <sheetName val="LWVCEF-Stmt of Fin. Pos. by mth"/>
      <sheetName val="FASB117 "/>
    </sheetNames>
    <sheetDataSet>
      <sheetData sheetId="0"/>
      <sheetData sheetId="1"/>
      <sheetData sheetId="2">
        <row r="13">
          <cell r="DH13">
            <v>0</v>
          </cell>
        </row>
        <row r="17">
          <cell r="N17">
            <v>23609.29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B117"/>
      <sheetName val="YTD Summary Stmt of Actv."/>
      <sheetName val="Unrestricted Net Assets byClass"/>
      <sheetName val="Restricted Net Assets by Class"/>
    </sheetNames>
    <sheetDataSet>
      <sheetData sheetId="0"/>
      <sheetData sheetId="1">
        <row r="7">
          <cell r="AE7">
            <v>69451.16</v>
          </cell>
        </row>
        <row r="11">
          <cell r="AE11">
            <v>0</v>
          </cell>
        </row>
        <row r="13">
          <cell r="V13">
            <v>11606</v>
          </cell>
          <cell r="AE13">
            <v>150133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74"/>
  <sheetViews>
    <sheetView tabSelected="1" zoomScale="110" zoomScaleNormal="110" zoomScalePageLayoutView="90" workbookViewId="0">
      <selection activeCell="A11" sqref="A11"/>
    </sheetView>
  </sheetViews>
  <sheetFormatPr defaultColWidth="8.85546875" defaultRowHeight="15" x14ac:dyDescent="0.25"/>
  <cols>
    <col min="1" max="1" width="34.28515625" style="360" customWidth="1"/>
    <col min="2" max="2" width="14.7109375" style="360" customWidth="1"/>
    <col min="3" max="3" width="13.85546875" style="360" hidden="1" customWidth="1"/>
    <col min="4" max="4" width="14.85546875" style="360" hidden="1" customWidth="1"/>
    <col min="5" max="5" width="13.7109375" style="360" customWidth="1"/>
    <col min="6" max="6" width="16" style="360" customWidth="1"/>
    <col min="7" max="7" width="1.7109375" style="360" customWidth="1"/>
    <col min="8" max="8" width="34" style="360" customWidth="1"/>
    <col min="9" max="9" width="15.7109375" style="360" customWidth="1"/>
    <col min="10" max="10" width="13.7109375" style="360" hidden="1" customWidth="1"/>
    <col min="11" max="11" width="14.28515625" style="360" hidden="1" customWidth="1"/>
    <col min="12" max="12" width="17.7109375" style="360" customWidth="1"/>
    <col min="13" max="13" width="16.7109375" style="360" customWidth="1"/>
    <col min="14" max="14" width="1.5703125" style="337" customWidth="1"/>
    <col min="15" max="15" width="33.7109375" style="337" customWidth="1"/>
    <col min="16" max="16" width="15.140625" style="337" customWidth="1"/>
    <col min="17" max="17" width="14" style="360" hidden="1" customWidth="1"/>
    <col min="18" max="18" width="14.5703125" style="360" hidden="1" customWidth="1"/>
    <col min="19" max="19" width="14.140625" style="337" customWidth="1"/>
    <col min="20" max="20" width="15.28515625" style="337" customWidth="1"/>
    <col min="21" max="21" width="10.5703125" style="337" bestFit="1" customWidth="1"/>
    <col min="22" max="22" width="11.7109375" style="337" customWidth="1"/>
    <col min="23" max="23" width="13" style="337" customWidth="1"/>
    <col min="24" max="43" width="8.85546875" style="337"/>
    <col min="44" max="16384" width="8.85546875" style="360"/>
  </cols>
  <sheetData>
    <row r="1" spans="1:43" ht="18.75" x14ac:dyDescent="0.3">
      <c r="A1" s="3" t="s">
        <v>477</v>
      </c>
      <c r="B1" s="2"/>
      <c r="C1" s="4"/>
      <c r="D1" s="4"/>
      <c r="E1" s="5"/>
      <c r="F1" s="5"/>
      <c r="G1" s="5"/>
      <c r="H1" s="5"/>
      <c r="I1" s="5"/>
      <c r="J1" s="4"/>
      <c r="K1" s="4"/>
      <c r="L1" s="5"/>
      <c r="M1" s="5"/>
      <c r="N1" s="6"/>
      <c r="O1" s="6"/>
      <c r="P1" s="6"/>
      <c r="Q1" s="4"/>
      <c r="R1" s="4"/>
      <c r="S1" s="6"/>
    </row>
    <row r="2" spans="1:43" ht="30" customHeight="1" thickBot="1" x14ac:dyDescent="0.35">
      <c r="A2" s="7" t="s">
        <v>0</v>
      </c>
      <c r="B2" s="375"/>
      <c r="C2" s="7"/>
      <c r="D2" s="7"/>
      <c r="E2" s="34"/>
      <c r="F2" s="5"/>
      <c r="G2" s="6"/>
      <c r="H2" s="7" t="s">
        <v>1</v>
      </c>
      <c r="I2" s="2"/>
      <c r="J2" s="7"/>
      <c r="K2" s="7"/>
      <c r="L2" s="5"/>
      <c r="M2" s="5"/>
      <c r="N2" s="6"/>
      <c r="O2" s="9" t="s">
        <v>2</v>
      </c>
      <c r="P2" s="6"/>
      <c r="Q2" s="7"/>
      <c r="R2" s="7"/>
      <c r="S2" s="6"/>
    </row>
    <row r="3" spans="1:43" s="2" customFormat="1" ht="45.75" thickBot="1" x14ac:dyDescent="0.3">
      <c r="A3" s="10"/>
      <c r="B3" s="11" t="s">
        <v>476</v>
      </c>
      <c r="C3" s="471" t="s">
        <v>3</v>
      </c>
      <c r="D3" s="446" t="s">
        <v>4</v>
      </c>
      <c r="E3" s="11" t="s">
        <v>5</v>
      </c>
      <c r="F3" s="12" t="s">
        <v>6</v>
      </c>
      <c r="G3" s="14"/>
      <c r="H3" s="35"/>
      <c r="I3" s="11" t="s">
        <v>476</v>
      </c>
      <c r="J3" s="445" t="s">
        <v>3</v>
      </c>
      <c r="K3" s="446" t="s">
        <v>4</v>
      </c>
      <c r="L3" s="37" t="s">
        <v>5</v>
      </c>
      <c r="M3" s="12" t="s">
        <v>6</v>
      </c>
      <c r="N3" s="15"/>
      <c r="O3" s="35"/>
      <c r="P3" s="37" t="s">
        <v>476</v>
      </c>
      <c r="Q3" s="36" t="s">
        <v>3</v>
      </c>
      <c r="R3" s="327" t="s">
        <v>4</v>
      </c>
      <c r="S3" s="314" t="s">
        <v>5</v>
      </c>
      <c r="T3" s="12" t="s">
        <v>6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2" customFormat="1" x14ac:dyDescent="0.25">
      <c r="A4" s="16" t="s">
        <v>7</v>
      </c>
      <c r="B4" s="373">
        <f>'LWVCEF-Stmt.of Act. By Class'!AP24</f>
        <v>75081.239999999991</v>
      </c>
      <c r="C4" s="447">
        <v>189261.31999999998</v>
      </c>
      <c r="D4" s="460">
        <f>B4-C4</f>
        <v>-114180.07999999999</v>
      </c>
      <c r="E4" s="518">
        <v>199050</v>
      </c>
      <c r="F4" s="17">
        <f>B4-E4</f>
        <v>-123968.76000000001</v>
      </c>
      <c r="G4" s="18"/>
      <c r="H4" s="16" t="s">
        <v>8</v>
      </c>
      <c r="I4" s="322">
        <f>'LWVCEF-Stmt.of Act. By Class'!AQ24</f>
        <v>91768</v>
      </c>
      <c r="J4" s="71">
        <v>112810.07</v>
      </c>
      <c r="K4" s="17">
        <f>I4-J4</f>
        <v>-21042.070000000007</v>
      </c>
      <c r="L4" s="71">
        <v>316000</v>
      </c>
      <c r="M4" s="84">
        <f>I4-L4</f>
        <v>-224232</v>
      </c>
      <c r="N4" s="23"/>
      <c r="O4" s="16" t="s">
        <v>8</v>
      </c>
      <c r="P4" s="322">
        <f>B4+I4</f>
        <v>166849.24</v>
      </c>
      <c r="Q4" s="447">
        <f>J4+C4</f>
        <v>302071.39</v>
      </c>
      <c r="R4" s="460">
        <f>P4-Q4</f>
        <v>-135222.15000000002</v>
      </c>
      <c r="S4" s="71">
        <f>L4+E4</f>
        <v>515050</v>
      </c>
      <c r="T4" s="316">
        <f>P4-S4</f>
        <v>-348200.76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2" customFormat="1" x14ac:dyDescent="0.25">
      <c r="A5" s="559" t="s">
        <v>469</v>
      </c>
      <c r="B5" s="560"/>
      <c r="C5" s="561"/>
      <c r="D5" s="562"/>
      <c r="E5" s="563">
        <v>53392</v>
      </c>
      <c r="F5" s="38"/>
      <c r="G5" s="18"/>
      <c r="H5" s="19"/>
      <c r="I5" s="324"/>
      <c r="J5" s="53"/>
      <c r="K5" s="42"/>
      <c r="L5" s="6"/>
      <c r="M5" s="42"/>
      <c r="N5" s="23"/>
      <c r="O5" s="559" t="s">
        <v>469</v>
      </c>
      <c r="P5" s="560">
        <f>B5</f>
        <v>0</v>
      </c>
      <c r="Q5" s="561"/>
      <c r="R5" s="562"/>
      <c r="S5" s="561">
        <v>53392</v>
      </c>
      <c r="T5" s="317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2" customFormat="1" ht="15.75" thickBot="1" x14ac:dyDescent="0.3">
      <c r="A6" s="26" t="s">
        <v>9</v>
      </c>
      <c r="B6" s="83">
        <f>B5+B4</f>
        <v>75081.239999999991</v>
      </c>
      <c r="C6" s="52">
        <v>189361.31999999998</v>
      </c>
      <c r="D6" s="40">
        <f>B6-C6</f>
        <v>-114280.07999999999</v>
      </c>
      <c r="E6" s="515">
        <f>+E5+E4</f>
        <v>252442</v>
      </c>
      <c r="F6" s="40">
        <f>B6-E6</f>
        <v>-177360.76</v>
      </c>
      <c r="G6" s="18"/>
      <c r="H6" s="26" t="s">
        <v>9</v>
      </c>
      <c r="I6" s="83">
        <f>I5+I4</f>
        <v>91768</v>
      </c>
      <c r="J6" s="52">
        <v>112810.07</v>
      </c>
      <c r="K6" s="40">
        <f>I6-J6</f>
        <v>-21042.070000000007</v>
      </c>
      <c r="L6" s="515">
        <f>+L5+L4</f>
        <v>316000</v>
      </c>
      <c r="M6" s="40">
        <f>I6-L6</f>
        <v>-224232</v>
      </c>
      <c r="N6" s="23"/>
      <c r="O6" s="26" t="s">
        <v>9</v>
      </c>
      <c r="P6" s="328">
        <f>SUM(P4:P5)</f>
        <v>166849.24</v>
      </c>
      <c r="Q6" s="461">
        <f>SUM(Q4:Q5)</f>
        <v>302071.39</v>
      </c>
      <c r="R6" s="452">
        <f>P6-Q6</f>
        <v>-135222.15000000002</v>
      </c>
      <c r="S6" s="79">
        <f>SUM(S4:S5)</f>
        <v>568442</v>
      </c>
      <c r="T6" s="318">
        <f>P6-S6</f>
        <v>-401592.76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s="2" customFormat="1" ht="15.75" thickTop="1" x14ac:dyDescent="0.25">
      <c r="A7" s="19" t="s">
        <v>10</v>
      </c>
      <c r="B7" s="323">
        <f>'LWVCEF-Stmt.of Act. By Class'!AP37</f>
        <v>61864.159999999989</v>
      </c>
      <c r="C7" s="51">
        <v>128014.72216437501</v>
      </c>
      <c r="D7" s="38">
        <f>B7-C7</f>
        <v>-66150.56216437502</v>
      </c>
      <c r="E7" s="20">
        <v>166622</v>
      </c>
      <c r="F7" s="38">
        <f>+B7-E7</f>
        <v>-104757.84000000001</v>
      </c>
      <c r="G7" s="18"/>
      <c r="H7" s="19" t="s">
        <v>10</v>
      </c>
      <c r="I7" s="323">
        <f>'LWVCEF-Stmt.of Act. By Class'!AQ37</f>
        <v>69451.16</v>
      </c>
      <c r="J7" s="51">
        <v>340436.71502671874</v>
      </c>
      <c r="K7" s="38">
        <f>I7-J7</f>
        <v>-270985.55502671876</v>
      </c>
      <c r="L7" s="51">
        <v>450009</v>
      </c>
      <c r="M7" s="38">
        <f>I7-L7</f>
        <v>-380557.83999999997</v>
      </c>
      <c r="N7" s="23"/>
      <c r="O7" s="19" t="s">
        <v>10</v>
      </c>
      <c r="P7" s="323">
        <f>B7+I7</f>
        <v>131315.32</v>
      </c>
      <c r="Q7" s="457">
        <f>+J7+C7</f>
        <v>468451.43719109375</v>
      </c>
      <c r="R7" s="453">
        <f>P7-Q7</f>
        <v>-337136.11719109374</v>
      </c>
      <c r="S7" s="354">
        <f>+L7+E7</f>
        <v>616631</v>
      </c>
      <c r="T7" s="68">
        <f>P7-S7</f>
        <v>-485315.68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2" customFormat="1" x14ac:dyDescent="0.25">
      <c r="A8" s="19" t="s">
        <v>11</v>
      </c>
      <c r="B8" s="323">
        <v>0</v>
      </c>
      <c r="C8" s="51"/>
      <c r="D8" s="38"/>
      <c r="E8" s="20"/>
      <c r="F8" s="38"/>
      <c r="G8" s="18"/>
      <c r="H8" s="19"/>
      <c r="I8" s="323"/>
      <c r="J8" s="51"/>
      <c r="K8" s="38"/>
      <c r="L8" s="20"/>
      <c r="M8" s="38"/>
      <c r="N8" s="23"/>
      <c r="O8" s="19" t="s">
        <v>11</v>
      </c>
      <c r="P8" s="357">
        <f>B8</f>
        <v>0</v>
      </c>
      <c r="Q8" s="457"/>
      <c r="R8" s="453"/>
      <c r="S8" s="20"/>
      <c r="T8" s="68">
        <f>P8-S8</f>
        <v>0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2" customFormat="1" x14ac:dyDescent="0.25">
      <c r="A9" s="19" t="s">
        <v>12</v>
      </c>
      <c r="B9" s="323">
        <v>0</v>
      </c>
      <c r="C9" s="51">
        <v>40300</v>
      </c>
      <c r="D9" s="38">
        <f>B9-C9</f>
        <v>-40300</v>
      </c>
      <c r="E9" s="20">
        <v>23521</v>
      </c>
      <c r="F9" s="38">
        <f>+B9-E9</f>
        <v>-23521</v>
      </c>
      <c r="G9" s="18"/>
      <c r="H9" s="19" t="s">
        <v>470</v>
      </c>
      <c r="I9" s="334"/>
      <c r="J9" s="551">
        <v>-40300</v>
      </c>
      <c r="K9" s="38">
        <f>I9-J9</f>
        <v>40300</v>
      </c>
      <c r="L9" s="20">
        <v>-23521</v>
      </c>
      <c r="M9" s="22">
        <f>+I9-L9</f>
        <v>23521</v>
      </c>
      <c r="N9" s="23"/>
      <c r="O9" s="19" t="s">
        <v>13</v>
      </c>
      <c r="P9" s="60">
        <f>+B9+I9</f>
        <v>0</v>
      </c>
      <c r="Q9" s="455"/>
      <c r="R9" s="456"/>
      <c r="S9" s="20">
        <f>E9+L9</f>
        <v>0</v>
      </c>
      <c r="T9" s="65">
        <f>+P9-S9</f>
        <v>0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s="2" customFormat="1" ht="15.75" thickBot="1" x14ac:dyDescent="0.3">
      <c r="A10" s="19" t="s">
        <v>14</v>
      </c>
      <c r="B10" s="83">
        <f>B6-B7-B9</f>
        <v>13217.080000000002</v>
      </c>
      <c r="C10" s="52">
        <v>21046.597835624969</v>
      </c>
      <c r="D10" s="40">
        <f>D4+D9+D5</f>
        <v>-154480.07999999999</v>
      </c>
      <c r="E10" s="52">
        <f>+E6-E7-E9</f>
        <v>62299</v>
      </c>
      <c r="F10" s="40">
        <f>+F6-F7-F9</f>
        <v>-49081.919999999998</v>
      </c>
      <c r="G10" s="18"/>
      <c r="H10" s="19" t="s">
        <v>14</v>
      </c>
      <c r="I10" s="83">
        <f>+I6-I7-I9</f>
        <v>22316.839999999997</v>
      </c>
      <c r="J10" s="52">
        <v>-187326.64502671873</v>
      </c>
      <c r="K10" s="40">
        <f>SUM(K4:K7)</f>
        <v>-313069.69502671878</v>
      </c>
      <c r="L10" s="52">
        <f>+L6-L7-L9</f>
        <v>-110488</v>
      </c>
      <c r="M10" s="40">
        <f>M4-M7-M9</f>
        <v>132804.83999999997</v>
      </c>
      <c r="N10" s="23"/>
      <c r="O10" s="19" t="s">
        <v>14</v>
      </c>
      <c r="P10" s="83">
        <f>+P6-P7-P9+P8</f>
        <v>35533.919999999984</v>
      </c>
      <c r="Q10" s="461">
        <f>Q4-Q7+Q5</f>
        <v>-166380.04719109373</v>
      </c>
      <c r="R10" s="452">
        <f>R4+R7</f>
        <v>-472358.26719109376</v>
      </c>
      <c r="S10" s="52">
        <f>+S6-S7-S9</f>
        <v>-48189</v>
      </c>
      <c r="T10" s="319">
        <f>+P10-S10</f>
        <v>83722.919999999984</v>
      </c>
      <c r="U10" s="48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s="2" customFormat="1" ht="15.75" thickTop="1" x14ac:dyDescent="0.25">
      <c r="A11" s="19"/>
      <c r="B11" s="324"/>
      <c r="C11" s="53"/>
      <c r="D11" s="42"/>
      <c r="E11" s="53"/>
      <c r="F11" s="42"/>
      <c r="G11" s="18"/>
      <c r="H11" s="19"/>
      <c r="I11" s="325"/>
      <c r="J11" s="53"/>
      <c r="K11" s="42"/>
      <c r="L11" s="77"/>
      <c r="M11" s="41"/>
      <c r="N11" s="23"/>
      <c r="O11" s="19"/>
      <c r="P11" s="325"/>
      <c r="Q11" s="455"/>
      <c r="R11" s="456"/>
      <c r="S11" s="77"/>
      <c r="T11" s="320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s="2" customFormat="1" x14ac:dyDescent="0.25">
      <c r="A12" s="19" t="s">
        <v>15</v>
      </c>
      <c r="B12" s="325">
        <f>E12</f>
        <v>11606</v>
      </c>
      <c r="C12" s="552">
        <v>82373</v>
      </c>
      <c r="D12" s="42"/>
      <c r="E12" s="77">
        <v>11606</v>
      </c>
      <c r="F12" s="503">
        <f>B12-E12</f>
        <v>0</v>
      </c>
      <c r="G12" s="18"/>
      <c r="H12" s="19" t="s">
        <v>15</v>
      </c>
      <c r="I12" s="323">
        <f>L12</f>
        <v>150133</v>
      </c>
      <c r="J12" s="552">
        <v>304654.87999999995</v>
      </c>
      <c r="K12" s="22">
        <f>L12-J12</f>
        <v>-154521.87999999995</v>
      </c>
      <c r="L12" s="51">
        <v>150133</v>
      </c>
      <c r="M12" s="38">
        <f>I12-L12</f>
        <v>0</v>
      </c>
      <c r="N12" s="23"/>
      <c r="O12" s="19" t="s">
        <v>15</v>
      </c>
      <c r="P12" s="323">
        <f>I12+B12</f>
        <v>161739</v>
      </c>
      <c r="Q12" s="449">
        <f>S12</f>
        <v>161739</v>
      </c>
      <c r="R12" s="450">
        <f>Q12-S12</f>
        <v>0</v>
      </c>
      <c r="S12" s="51">
        <f>+L12+E12</f>
        <v>161739</v>
      </c>
      <c r="T12" s="317">
        <f>P12-S12</f>
        <v>0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s="2" customFormat="1" ht="15.75" thickBot="1" x14ac:dyDescent="0.3">
      <c r="A13" s="19" t="s">
        <v>16</v>
      </c>
      <c r="B13" s="83">
        <f>B12+B10</f>
        <v>24823.08</v>
      </c>
      <c r="C13" s="78">
        <v>103419.59783562497</v>
      </c>
      <c r="D13" s="40">
        <f>B13-C13</f>
        <v>-78596.517835624967</v>
      </c>
      <c r="E13" s="52">
        <f>E12+E10</f>
        <v>73905</v>
      </c>
      <c r="F13" s="40">
        <f>B13-E13</f>
        <v>-49081.919999999998</v>
      </c>
      <c r="G13" s="18"/>
      <c r="H13" s="19" t="s">
        <v>16</v>
      </c>
      <c r="I13" s="39">
        <f>I12+I10</f>
        <v>172449.84</v>
      </c>
      <c r="J13" s="78">
        <v>117328.23497328121</v>
      </c>
      <c r="K13" s="313">
        <f>I13-J13</f>
        <v>55121.605026718782</v>
      </c>
      <c r="L13" s="78">
        <f>L10+L12</f>
        <v>39645</v>
      </c>
      <c r="M13" s="313">
        <f>M12+M10</f>
        <v>132804.83999999997</v>
      </c>
      <c r="N13" s="23"/>
      <c r="O13" s="19" t="s">
        <v>16</v>
      </c>
      <c r="P13" s="39">
        <f>P12+P10</f>
        <v>197272.91999999998</v>
      </c>
      <c r="Q13" s="451">
        <f>Q12+Q10</f>
        <v>-4641.047191093734</v>
      </c>
      <c r="R13" s="454">
        <f>P13-Q13</f>
        <v>201913.96719109372</v>
      </c>
      <c r="S13" s="78">
        <f>S12+S10</f>
        <v>113550</v>
      </c>
      <c r="T13" s="66">
        <f>P13-S13</f>
        <v>83722.919999999984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s="2" customFormat="1" ht="15.75" thickTop="1" x14ac:dyDescent="0.25">
      <c r="A14" s="19"/>
      <c r="B14" s="324"/>
      <c r="C14" s="53"/>
      <c r="D14" s="42"/>
      <c r="E14" s="53"/>
      <c r="F14" s="42"/>
      <c r="G14" s="18"/>
      <c r="H14" s="19"/>
      <c r="I14" s="324"/>
      <c r="J14" s="53"/>
      <c r="K14" s="42"/>
      <c r="L14" s="53"/>
      <c r="M14" s="42"/>
      <c r="N14" s="23"/>
      <c r="O14" s="19"/>
      <c r="P14" s="324"/>
      <c r="Q14" s="455"/>
      <c r="R14" s="456"/>
      <c r="S14" s="53"/>
      <c r="T14" s="11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s="2" customFormat="1" x14ac:dyDescent="0.25">
      <c r="A15" s="26" t="s">
        <v>17</v>
      </c>
      <c r="B15" s="324"/>
      <c r="C15" s="53"/>
      <c r="D15" s="42"/>
      <c r="E15" s="53"/>
      <c r="F15" s="42"/>
      <c r="G15" s="6"/>
      <c r="H15" s="26" t="s">
        <v>17</v>
      </c>
      <c r="I15" s="323"/>
      <c r="J15" s="53"/>
      <c r="K15" s="42"/>
      <c r="L15" s="51"/>
      <c r="M15" s="38"/>
      <c r="N15" s="6"/>
      <c r="O15" s="26" t="s">
        <v>17</v>
      </c>
      <c r="P15" s="323"/>
      <c r="Q15" s="455"/>
      <c r="R15" s="456"/>
      <c r="S15" s="51"/>
      <c r="T15" s="31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s="2" customFormat="1" x14ac:dyDescent="0.25">
      <c r="A16" s="26"/>
      <c r="B16" s="324"/>
      <c r="C16" s="53"/>
      <c r="D16" s="42"/>
      <c r="E16" s="53"/>
      <c r="F16" s="42"/>
      <c r="G16" s="6"/>
      <c r="H16" s="31" t="s">
        <v>18</v>
      </c>
      <c r="I16" s="323">
        <f>'LWVCEF-Stmt of Fin. Pos. by mth'!AC92</f>
        <v>95871.95</v>
      </c>
      <c r="J16" s="552">
        <v>53000</v>
      </c>
      <c r="K16" s="22">
        <f>I16-J16</f>
        <v>42871.95</v>
      </c>
      <c r="L16" s="27">
        <f>95872-91934</f>
        <v>3938</v>
      </c>
      <c r="M16" s="38">
        <f>+J16</f>
        <v>53000</v>
      </c>
      <c r="N16" s="6"/>
      <c r="O16" s="26"/>
      <c r="P16" s="323"/>
      <c r="Q16" s="455"/>
      <c r="R16" s="456"/>
      <c r="S16" s="51"/>
      <c r="T16" s="31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s="2" customFormat="1" x14ac:dyDescent="0.25">
      <c r="A17" s="19" t="s">
        <v>19</v>
      </c>
      <c r="B17" s="323">
        <f>'LWVCEF-Stmt of Fin. Pos. by mth'!AC86</f>
        <v>39047.230000000003</v>
      </c>
      <c r="C17" s="552">
        <v>39046</v>
      </c>
      <c r="D17" s="38">
        <f>B17-C17</f>
        <v>1.2300000000032014</v>
      </c>
      <c r="E17" s="51">
        <v>33047</v>
      </c>
      <c r="F17" s="38">
        <f>B17-E17</f>
        <v>6000.2300000000032</v>
      </c>
      <c r="G17" s="18"/>
      <c r="H17" s="19" t="s">
        <v>20</v>
      </c>
      <c r="I17" s="323">
        <f>'LWVCEF-Stmt of Fin. Pos. by mth'!AC90</f>
        <v>37158.480000000003</v>
      </c>
      <c r="J17" s="51">
        <v>64328.280000000013</v>
      </c>
      <c r="K17" s="38">
        <f>I17-J17</f>
        <v>-27169.80000000001</v>
      </c>
      <c r="L17" s="553">
        <f>54261-17554-1000</f>
        <v>35707</v>
      </c>
      <c r="M17" s="38">
        <f>I17-L17</f>
        <v>1451.4800000000032</v>
      </c>
      <c r="N17" s="6"/>
      <c r="O17" s="19" t="s">
        <v>21</v>
      </c>
      <c r="P17" s="323">
        <f t="shared" ref="P17:Q19" si="0">B17</f>
        <v>39047.230000000003</v>
      </c>
      <c r="Q17" s="457">
        <f t="shared" si="0"/>
        <v>39046</v>
      </c>
      <c r="R17" s="453">
        <f>Q17-S17</f>
        <v>5999</v>
      </c>
      <c r="S17" s="51">
        <f>E17</f>
        <v>33047</v>
      </c>
      <c r="T17" s="68">
        <f t="shared" ref="T17:T26" si="1">P17-S17</f>
        <v>6000.2300000000032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s="2" customFormat="1" x14ac:dyDescent="0.25">
      <c r="A18" s="19" t="s">
        <v>22</v>
      </c>
      <c r="B18" s="323">
        <f>B20-B17-B19</f>
        <v>-22445.95</v>
      </c>
      <c r="C18" s="51">
        <v>25000</v>
      </c>
      <c r="D18" s="38">
        <f>B18-C18</f>
        <v>-47445.95</v>
      </c>
      <c r="E18" s="51">
        <f>E13-E17-E19</f>
        <v>32636</v>
      </c>
      <c r="F18" s="38">
        <f>B18-E18</f>
        <v>-55081.95</v>
      </c>
      <c r="G18" s="18"/>
      <c r="H18" s="19" t="s">
        <v>465</v>
      </c>
      <c r="I18" s="20">
        <f>'LWVCEF Summary'!C81</f>
        <v>50000</v>
      </c>
      <c r="J18" s="6"/>
      <c r="K18" s="6"/>
      <c r="L18" s="554">
        <v>0</v>
      </c>
      <c r="M18" s="485">
        <f t="shared" ref="M18:M20" si="2">I18-L18</f>
        <v>50000</v>
      </c>
      <c r="N18" s="6"/>
      <c r="O18" s="19" t="s">
        <v>22</v>
      </c>
      <c r="P18" s="331">
        <f>B18</f>
        <v>-22445.95</v>
      </c>
      <c r="Q18" s="457">
        <f t="shared" si="0"/>
        <v>25000</v>
      </c>
      <c r="R18" s="453">
        <f>P18-Q18</f>
        <v>-47445.95</v>
      </c>
      <c r="S18" s="51">
        <f>E18</f>
        <v>32636</v>
      </c>
      <c r="T18" s="68">
        <f t="shared" si="1"/>
        <v>-55081.95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s="2" customFormat="1" x14ac:dyDescent="0.25">
      <c r="A19" s="19" t="s">
        <v>23</v>
      </c>
      <c r="B19" s="323">
        <f>'LWVCEF-Stmt of Fin. Pos. by mth'!AC87</f>
        <v>8221.7999999999993</v>
      </c>
      <c r="C19" s="51">
        <v>39373.597835624969</v>
      </c>
      <c r="D19" s="38">
        <f>B19-C19</f>
        <v>-31151.79783562497</v>
      </c>
      <c r="E19" s="51">
        <v>8222</v>
      </c>
      <c r="F19" s="38">
        <f>B19-E19</f>
        <v>-0.2000000000007276</v>
      </c>
      <c r="G19" s="18"/>
      <c r="H19" s="19" t="s">
        <v>466</v>
      </c>
      <c r="I19" s="20">
        <f>'LWVCEF Summary'!C82</f>
        <v>14545</v>
      </c>
      <c r="J19" s="6"/>
      <c r="K19" s="6"/>
      <c r="L19" s="554">
        <v>0</v>
      </c>
      <c r="M19" s="485">
        <f t="shared" si="2"/>
        <v>14545</v>
      </c>
      <c r="N19" s="6"/>
      <c r="O19" s="19" t="s">
        <v>23</v>
      </c>
      <c r="P19" s="323">
        <f t="shared" si="0"/>
        <v>8221.7999999999993</v>
      </c>
      <c r="Q19" s="457">
        <f t="shared" si="0"/>
        <v>39373.597835624969</v>
      </c>
      <c r="R19" s="453">
        <f>P19-Q19</f>
        <v>-31151.79783562497</v>
      </c>
      <c r="S19" s="505">
        <f>E19</f>
        <v>8222</v>
      </c>
      <c r="T19" s="68">
        <f t="shared" si="1"/>
        <v>-0.2000000000007276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s="2" customFormat="1" ht="15.75" thickBot="1" x14ac:dyDescent="0.3">
      <c r="A20" s="26" t="s">
        <v>25</v>
      </c>
      <c r="B20" s="555">
        <f>B13</f>
        <v>24823.08</v>
      </c>
      <c r="C20" s="556">
        <v>103419.59783562497</v>
      </c>
      <c r="D20" s="40">
        <f>B20-C20</f>
        <v>-78596.517835624967</v>
      </c>
      <c r="E20" s="556">
        <f>SUM(E17:E19)</f>
        <v>73905</v>
      </c>
      <c r="F20" s="55">
        <f>B20-E20</f>
        <v>-49081.919999999998</v>
      </c>
      <c r="G20" s="18"/>
      <c r="H20" s="19" t="s">
        <v>24</v>
      </c>
      <c r="I20" s="323">
        <f>'LWVCEF Summary'!C83</f>
        <v>-25126.03</v>
      </c>
      <c r="J20" s="51">
        <v>0</v>
      </c>
      <c r="K20" s="38">
        <f>J20-L20</f>
        <v>0</v>
      </c>
      <c r="L20" s="554">
        <v>0</v>
      </c>
      <c r="M20" s="485">
        <f t="shared" si="2"/>
        <v>-25126.03</v>
      </c>
      <c r="N20" s="6"/>
      <c r="O20" s="26" t="s">
        <v>27</v>
      </c>
      <c r="P20" s="328">
        <f>SUM(P17:P19)</f>
        <v>24823.08</v>
      </c>
      <c r="Q20" s="462">
        <f>SUM(Q17:Q19)</f>
        <v>103419.59783562497</v>
      </c>
      <c r="R20" s="452">
        <f>Q20-S20</f>
        <v>29514.597835624969</v>
      </c>
      <c r="S20" s="506">
        <f>SUM(S17:S19)</f>
        <v>73905</v>
      </c>
      <c r="T20" s="319">
        <f t="shared" si="1"/>
        <v>-49081.919999999998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s="2" customFormat="1" ht="16.5" thickTop="1" thickBot="1" x14ac:dyDescent="0.3">
      <c r="A21" s="29"/>
      <c r="B21" s="326"/>
      <c r="C21" s="557"/>
      <c r="D21" s="558"/>
      <c r="E21" s="312"/>
      <c r="F21" s="30"/>
      <c r="G21" s="18"/>
      <c r="H21" s="28" t="s">
        <v>26</v>
      </c>
      <c r="I21" s="328">
        <f>SUM(I16:I20)</f>
        <v>172449.4</v>
      </c>
      <c r="J21" s="467">
        <v>117328.28000000001</v>
      </c>
      <c r="K21" s="468">
        <f>SUM(K17:K20)</f>
        <v>-27169.80000000001</v>
      </c>
      <c r="L21" s="504">
        <f>SUM(L16:L20)</f>
        <v>39645</v>
      </c>
      <c r="M21" s="81">
        <f>I21-L21</f>
        <v>132804.4</v>
      </c>
      <c r="N21" s="6"/>
      <c r="O21" s="31"/>
      <c r="P21" s="332"/>
      <c r="Q21" s="463"/>
      <c r="R21" s="453"/>
      <c r="S21" s="54"/>
      <c r="T21" s="68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s="2" customFormat="1" ht="19.5" customHeight="1" thickBot="1" x14ac:dyDescent="0.3">
      <c r="A22" s="69"/>
      <c r="B22" s="70"/>
      <c r="C22" s="69"/>
      <c r="D22" s="69"/>
      <c r="E22" s="33"/>
      <c r="F22" s="27"/>
      <c r="G22" s="6"/>
      <c r="H22" s="29"/>
      <c r="I22" s="329"/>
      <c r="J22" s="469"/>
      <c r="K22" s="470"/>
      <c r="L22" s="80"/>
      <c r="M22" s="82"/>
      <c r="N22" s="6"/>
      <c r="O22" s="31" t="s">
        <v>18</v>
      </c>
      <c r="P22" s="323">
        <f>I16</f>
        <v>95871.95</v>
      </c>
      <c r="Q22" s="449">
        <v>53000</v>
      </c>
      <c r="R22" s="450">
        <f>P22-Q22</f>
        <v>42871.95</v>
      </c>
      <c r="S22" s="51">
        <f>L16</f>
        <v>3938</v>
      </c>
      <c r="T22" s="68">
        <f t="shared" si="1"/>
        <v>91933.95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s="2" customFormat="1" x14ac:dyDescent="0.25">
      <c r="A23" s="69"/>
      <c r="B23" s="33"/>
      <c r="C23" s="32"/>
      <c r="D23" s="32"/>
      <c r="E23" s="33"/>
      <c r="F23" s="5"/>
      <c r="G23" s="6"/>
      <c r="H23" s="33"/>
      <c r="I23" s="564"/>
      <c r="J23" s="565"/>
      <c r="K23" s="565"/>
      <c r="L23" s="566"/>
      <c r="M23" s="565"/>
      <c r="N23" s="303"/>
      <c r="O23" s="19" t="s">
        <v>20</v>
      </c>
      <c r="P23" s="323">
        <f>I17</f>
        <v>37158.480000000003</v>
      </c>
      <c r="Q23" s="457">
        <v>64328.280000000013</v>
      </c>
      <c r="R23" s="453">
        <f>P23-Q23</f>
        <v>-27169.80000000001</v>
      </c>
      <c r="S23" s="51">
        <f>L17</f>
        <v>35707</v>
      </c>
      <c r="T23" s="68">
        <f t="shared" si="1"/>
        <v>1451.4800000000032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s="2" customFormat="1" x14ac:dyDescent="0.25">
      <c r="A24" s="32"/>
      <c r="B24" s="33"/>
      <c r="C24" s="32"/>
      <c r="D24" s="32"/>
      <c r="E24" s="33"/>
      <c r="F24" s="5"/>
      <c r="G24" s="6"/>
      <c r="H24" s="33"/>
      <c r="I24" s="564"/>
      <c r="J24" s="565"/>
      <c r="K24" s="565"/>
      <c r="L24" s="566"/>
      <c r="M24" s="565"/>
      <c r="N24" s="303"/>
      <c r="O24" s="19" t="s">
        <v>24</v>
      </c>
      <c r="P24" s="323">
        <f>I20</f>
        <v>-25126.03</v>
      </c>
      <c r="Q24" s="457">
        <v>0</v>
      </c>
      <c r="R24" s="453">
        <f>Q24-S24</f>
        <v>0</v>
      </c>
      <c r="S24" s="51">
        <v>0</v>
      </c>
      <c r="T24" s="68">
        <f t="shared" si="1"/>
        <v>-25126.03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s="2" customFormat="1" x14ac:dyDescent="0.25">
      <c r="A25" s="32"/>
      <c r="B25" s="33"/>
      <c r="C25" s="34"/>
      <c r="D25" s="5"/>
      <c r="E25" s="33"/>
      <c r="F25" s="45"/>
      <c r="G25" s="33"/>
      <c r="H25" s="33"/>
      <c r="I25" s="567"/>
      <c r="J25" s="565"/>
      <c r="K25" s="565"/>
      <c r="L25" s="566"/>
      <c r="M25" s="565"/>
      <c r="N25" s="6"/>
      <c r="O25" s="19" t="s">
        <v>465</v>
      </c>
      <c r="P25" s="507">
        <f>I18</f>
        <v>50000</v>
      </c>
      <c r="S25" s="51">
        <v>0</v>
      </c>
      <c r="T25" s="68">
        <f t="shared" si="1"/>
        <v>50000</v>
      </c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s="2" customFormat="1" x14ac:dyDescent="0.25">
      <c r="A26" s="32"/>
      <c r="B26" s="33"/>
      <c r="C26" s="32"/>
      <c r="D26" s="32"/>
      <c r="E26" s="33"/>
      <c r="F26" s="45"/>
      <c r="G26" s="33"/>
      <c r="H26" s="33"/>
      <c r="I26" s="33"/>
      <c r="J26" s="5"/>
      <c r="K26" s="5"/>
      <c r="L26" s="45"/>
      <c r="M26" s="45"/>
      <c r="N26" s="550"/>
      <c r="O26" s="19" t="s">
        <v>466</v>
      </c>
      <c r="P26" s="507">
        <f>I19</f>
        <v>14545</v>
      </c>
      <c r="S26" s="51">
        <v>0</v>
      </c>
      <c r="T26" s="68">
        <f t="shared" si="1"/>
        <v>14545</v>
      </c>
      <c r="U26" s="48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s="2" customFormat="1" ht="15.75" thickBot="1" x14ac:dyDescent="0.3">
      <c r="A27" s="32"/>
      <c r="B27" s="33"/>
      <c r="C27" s="32"/>
      <c r="D27" s="32"/>
      <c r="E27" s="33"/>
      <c r="F27" s="5"/>
      <c r="G27" s="5"/>
      <c r="H27" s="44"/>
      <c r="I27" s="567"/>
      <c r="J27" s="565"/>
      <c r="K27" s="565"/>
      <c r="L27" s="566"/>
      <c r="M27" s="566"/>
      <c r="N27" s="6"/>
      <c r="O27" s="28" t="s">
        <v>26</v>
      </c>
      <c r="P27" s="328">
        <f>SUM(P21:P26)</f>
        <v>172449.4</v>
      </c>
      <c r="Q27" s="461">
        <f>SUM(Q21:Q24)</f>
        <v>117328.28000000001</v>
      </c>
      <c r="R27" s="452">
        <f>SUM(R21:R24)</f>
        <v>15702.149999999987</v>
      </c>
      <c r="S27" s="79">
        <f>SUM(S21:S26)</f>
        <v>39645</v>
      </c>
      <c r="T27" s="319">
        <f>P27-S27</f>
        <v>132804.4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s="2" customFormat="1" ht="16.5" thickTop="1" thickBot="1" x14ac:dyDescent="0.3">
      <c r="A28" s="32"/>
      <c r="B28" s="33"/>
      <c r="C28" s="32"/>
      <c r="D28" s="32"/>
      <c r="E28" s="33"/>
      <c r="F28" s="5"/>
      <c r="G28" s="5"/>
      <c r="H28" s="44"/>
      <c r="I28" s="567"/>
      <c r="J28" s="565"/>
      <c r="K28" s="565"/>
      <c r="L28" s="566"/>
      <c r="M28" s="566"/>
      <c r="N28" s="6"/>
      <c r="O28" s="29" t="s">
        <v>28</v>
      </c>
      <c r="P28" s="351">
        <f>+P27+P20</f>
        <v>197272.47999999998</v>
      </c>
      <c r="Q28" s="464">
        <f>+Q27+Q20</f>
        <v>220747.87783562497</v>
      </c>
      <c r="R28" s="465">
        <f>+R27+R20</f>
        <v>45216.747835624956</v>
      </c>
      <c r="S28" s="315">
        <f>S27+S20</f>
        <v>113550</v>
      </c>
      <c r="T28" s="321">
        <f>P28-S28</f>
        <v>83722.479999999981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s="2" customFormat="1" x14ac:dyDescent="0.25">
      <c r="A29" s="32"/>
      <c r="B29" s="33"/>
      <c r="C29" s="32"/>
      <c r="D29" s="32"/>
      <c r="E29" s="33"/>
      <c r="F29" s="5"/>
      <c r="G29" s="5"/>
      <c r="H29" s="44"/>
      <c r="I29" s="567"/>
      <c r="J29" s="565"/>
      <c r="K29" s="565"/>
      <c r="L29" s="566"/>
      <c r="M29" s="566"/>
      <c r="N29" s="6"/>
      <c r="O29" s="32"/>
      <c r="P29" s="48"/>
      <c r="Q29" s="484"/>
      <c r="R29" s="484"/>
      <c r="S29" s="23"/>
      <c r="T29" s="20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s="2" customFormat="1" x14ac:dyDescent="0.25">
      <c r="A30" s="32"/>
      <c r="B30" s="33"/>
      <c r="C30" s="32"/>
      <c r="D30" s="32"/>
      <c r="E30" s="33"/>
      <c r="F30" s="5"/>
      <c r="G30" s="5"/>
      <c r="H30" s="44"/>
      <c r="I30" s="567"/>
      <c r="J30" s="565"/>
      <c r="K30" s="565"/>
      <c r="L30" s="566"/>
      <c r="M30" s="566"/>
      <c r="N30" s="6"/>
      <c r="O30" s="32"/>
      <c r="P30" s="597">
        <f>+P28-P13</f>
        <v>-0.44000000000232831</v>
      </c>
      <c r="Q30" s="605"/>
      <c r="R30" s="606"/>
      <c r="S30" s="603" t="s">
        <v>29</v>
      </c>
      <c r="T30" s="6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x14ac:dyDescent="0.25">
      <c r="A31" s="32"/>
      <c r="B31" s="33"/>
      <c r="C31" s="32"/>
      <c r="D31" s="32"/>
      <c r="E31" s="33"/>
      <c r="F31" s="5"/>
      <c r="G31" s="5"/>
      <c r="H31" s="33"/>
      <c r="I31" s="33"/>
      <c r="J31" s="568"/>
      <c r="K31" s="5"/>
      <c r="L31" s="45"/>
      <c r="M31" s="5"/>
      <c r="N31" s="6"/>
      <c r="O31" s="32"/>
      <c r="P31" s="602"/>
      <c r="Q31" s="109"/>
      <c r="R31" s="69"/>
      <c r="S31" s="48"/>
      <c r="T31" s="6"/>
    </row>
    <row r="32" spans="1:43" ht="19.5" thickBot="1" x14ac:dyDescent="0.35">
      <c r="A32" s="7" t="s">
        <v>30</v>
      </c>
      <c r="B32" s="8"/>
      <c r="C32" s="7"/>
      <c r="D32" s="7"/>
      <c r="E32" s="5"/>
      <c r="F32" s="5"/>
      <c r="G32" s="5"/>
      <c r="H32" s="335" t="s">
        <v>31</v>
      </c>
      <c r="I32" s="5"/>
      <c r="J32" s="32"/>
      <c r="K32" s="32"/>
      <c r="L32" s="5"/>
      <c r="M32" s="569"/>
      <c r="N32" s="6"/>
      <c r="O32" s="570" t="s">
        <v>32</v>
      </c>
      <c r="P32" s="48"/>
      <c r="Q32" s="352"/>
      <c r="R32" s="7"/>
      <c r="S32" s="6"/>
      <c r="T32" s="6"/>
    </row>
    <row r="33" spans="1:32" ht="45.75" thickBot="1" x14ac:dyDescent="0.3">
      <c r="A33" s="35"/>
      <c r="B33" s="11" t="s">
        <v>476</v>
      </c>
      <c r="C33" s="445" t="s">
        <v>3</v>
      </c>
      <c r="D33" s="446" t="s">
        <v>4</v>
      </c>
      <c r="E33" s="11" t="s">
        <v>5</v>
      </c>
      <c r="F33" s="12" t="s">
        <v>6</v>
      </c>
      <c r="G33" s="5"/>
      <c r="H33" s="368"/>
      <c r="I33" s="37" t="s">
        <v>476</v>
      </c>
      <c r="J33" s="353" t="s">
        <v>3</v>
      </c>
      <c r="K33" s="400" t="s">
        <v>4</v>
      </c>
      <c r="L33" s="359" t="s">
        <v>5</v>
      </c>
      <c r="M33" s="63" t="s">
        <v>6</v>
      </c>
      <c r="N33" s="1"/>
      <c r="O33" s="16"/>
      <c r="P33" s="11" t="s">
        <v>476</v>
      </c>
      <c r="Q33" s="36" t="s">
        <v>3</v>
      </c>
      <c r="R33" s="327" t="s">
        <v>4</v>
      </c>
      <c r="S33" s="37" t="s">
        <v>5</v>
      </c>
      <c r="T33" s="12" t="s">
        <v>6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5">
      <c r="A34" s="16" t="s">
        <v>7</v>
      </c>
      <c r="B34" s="322">
        <f>'LWVC-Stmt of Act. by Class'!AZ32-'LWVC-Stmt of Act. by Class'!AH32</f>
        <v>196410.69</v>
      </c>
      <c r="C34" s="447">
        <v>500407.70999999996</v>
      </c>
      <c r="D34" s="448">
        <f>B34-C34</f>
        <v>-303997.01999999996</v>
      </c>
      <c r="E34" s="518">
        <f>552510-E35</f>
        <v>527510</v>
      </c>
      <c r="F34" s="17">
        <f>B34-E34</f>
        <v>-331099.31</v>
      </c>
      <c r="G34" s="5"/>
      <c r="H34" s="16" t="s">
        <v>8</v>
      </c>
      <c r="I34" s="518">
        <f>B34+P4+P5+B35+B36</f>
        <v>366354.93</v>
      </c>
      <c r="J34" s="519">
        <f>+C37+Q6</f>
        <v>836122.1</v>
      </c>
      <c r="K34" s="518">
        <f>I34-J34</f>
        <v>-469767.17</v>
      </c>
      <c r="L34" s="533">
        <f>+E37+S6</f>
        <v>1120952</v>
      </c>
      <c r="M34" s="520">
        <f>I34-L34</f>
        <v>-754597.07000000007</v>
      </c>
      <c r="N34" s="1"/>
      <c r="O34" s="16" t="s">
        <v>7</v>
      </c>
      <c r="P34" s="599">
        <f>'LWVC-Stmt of Act. by Class'!AZ32-'LWVC-Stmt of Act. by Class'!AH32</f>
        <v>196410.69</v>
      </c>
      <c r="Q34" s="71">
        <f>+C34</f>
        <v>500407.70999999996</v>
      </c>
      <c r="R34" s="84">
        <f>P34-Q34</f>
        <v>-303997.01999999996</v>
      </c>
      <c r="S34" s="519">
        <f>E34</f>
        <v>527510</v>
      </c>
      <c r="T34" s="84">
        <f>P34-S34</f>
        <v>-331099.31</v>
      </c>
      <c r="U34" s="600" t="s">
        <v>485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5">
      <c r="A35" s="19" t="s">
        <v>33</v>
      </c>
      <c r="B35" s="357">
        <f>'LWVC-Stmt of Act. by Class'!AH32</f>
        <v>3095</v>
      </c>
      <c r="C35" s="457">
        <v>32643</v>
      </c>
      <c r="D35" s="450">
        <f>B35-C35</f>
        <v>-29548</v>
      </c>
      <c r="E35" s="20">
        <v>25000</v>
      </c>
      <c r="F35" s="38">
        <f>B35-E35</f>
        <v>-21905</v>
      </c>
      <c r="G35" s="5"/>
      <c r="H35" s="19" t="s">
        <v>10</v>
      </c>
      <c r="I35" s="20">
        <f>B38+P7</f>
        <v>238316.12</v>
      </c>
      <c r="J35" s="23">
        <f>C38+Q7</f>
        <v>911278.21109500004</v>
      </c>
      <c r="K35" s="20">
        <f>I35-J35</f>
        <v>-672962.09109500004</v>
      </c>
      <c r="L35" s="509">
        <f>E38+S7</f>
        <v>1163869</v>
      </c>
      <c r="M35" s="21">
        <f>I35-L35</f>
        <v>-925552.88</v>
      </c>
      <c r="N35" s="1"/>
      <c r="O35" s="19" t="s">
        <v>10</v>
      </c>
      <c r="P35" s="601">
        <f>'LWVC-Stmt of Act. by Class'!AZ49-'LWVC-Stmt of Act. by Class'!AH49</f>
        <v>95193.44</v>
      </c>
      <c r="Q35" s="552">
        <v>440054.40390390629</v>
      </c>
      <c r="R35" s="22">
        <f>P35-Q35</f>
        <v>-344860.96390390629</v>
      </c>
      <c r="S35" s="553">
        <f>E38-28000</f>
        <v>519238</v>
      </c>
      <c r="T35" s="22">
        <f>P35-S35</f>
        <v>-424044.56</v>
      </c>
      <c r="U35" s="598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5">
      <c r="A36" s="19"/>
      <c r="B36" s="323"/>
      <c r="C36" s="457"/>
      <c r="D36" s="450"/>
      <c r="E36" s="20"/>
      <c r="F36" s="38"/>
      <c r="G36" s="5"/>
      <c r="H36" s="19" t="s">
        <v>470</v>
      </c>
      <c r="I36" s="23">
        <f>I9</f>
        <v>0</v>
      </c>
      <c r="J36" s="6"/>
      <c r="K36" s="6"/>
      <c r="L36" s="510">
        <v>0</v>
      </c>
      <c r="M36" s="21">
        <f>I36-L36</f>
        <v>0</v>
      </c>
      <c r="N36" s="1"/>
      <c r="O36" s="19" t="s">
        <v>34</v>
      </c>
      <c r="P36" s="23">
        <f>+B39</f>
        <v>0</v>
      </c>
      <c r="Q36" s="6"/>
      <c r="R36" s="6"/>
      <c r="S36" s="6">
        <v>0</v>
      </c>
      <c r="T36" s="22">
        <f>P36-S36</f>
        <v>0</v>
      </c>
      <c r="U36" s="46"/>
      <c r="V36" s="48"/>
      <c r="W36" s="48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thickBot="1" x14ac:dyDescent="0.3">
      <c r="A37" s="26" t="s">
        <v>9</v>
      </c>
      <c r="B37" s="328">
        <f>SUM(B34:B36)</f>
        <v>199505.69</v>
      </c>
      <c r="C37" s="462">
        <v>534050.71</v>
      </c>
      <c r="D37" s="472">
        <f>SUM(D34:D36)</f>
        <v>-333545.01999999996</v>
      </c>
      <c r="E37" s="56">
        <f>+E36+E35+E34</f>
        <v>552510</v>
      </c>
      <c r="F37" s="61">
        <f>SUM(F34:F36)</f>
        <v>-353004.31</v>
      </c>
      <c r="G37" s="5"/>
      <c r="H37" s="19" t="s">
        <v>14</v>
      </c>
      <c r="I37" s="56">
        <f>I34-I35-I36</f>
        <v>128038.81</v>
      </c>
      <c r="J37" s="56">
        <f>J34-J35</f>
        <v>-75156.111095000058</v>
      </c>
      <c r="K37" s="56">
        <f>K34-K35</f>
        <v>203194.92109500006</v>
      </c>
      <c r="L37" s="534">
        <f>L34-L35</f>
        <v>-42917</v>
      </c>
      <c r="M37" s="521">
        <f>M34-M35</f>
        <v>170955.80999999994</v>
      </c>
      <c r="N37" s="1"/>
      <c r="O37" s="19" t="s">
        <v>14</v>
      </c>
      <c r="P37" s="39">
        <f>P34-P35-P36</f>
        <v>101217.25</v>
      </c>
      <c r="Q37" s="78" t="e">
        <f>Q34-Q35+#REF!</f>
        <v>#REF!</v>
      </c>
      <c r="R37" s="40" t="e">
        <f>R34-R35+#REF!</f>
        <v>#REF!</v>
      </c>
      <c r="S37" s="39">
        <f>S34-S35-S36</f>
        <v>8272</v>
      </c>
      <c r="T37" s="39">
        <f>T34-T35-T36</f>
        <v>92945.25</v>
      </c>
      <c r="V37" s="48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thickTop="1" x14ac:dyDescent="0.25">
      <c r="A38" s="19" t="s">
        <v>10</v>
      </c>
      <c r="B38" s="323">
        <f>'LWVC-Stmt of Act. by Class'!AZ49</f>
        <v>107000.8</v>
      </c>
      <c r="C38" s="457">
        <v>442826.77390390629</v>
      </c>
      <c r="D38" s="450">
        <f>B38-C38</f>
        <v>-335825.9739039063</v>
      </c>
      <c r="E38" s="20">
        <v>547238</v>
      </c>
      <c r="F38" s="38">
        <f>B38-E38</f>
        <v>-440237.2</v>
      </c>
      <c r="G38" s="5"/>
      <c r="H38" s="19"/>
      <c r="I38" s="20"/>
      <c r="J38" s="20"/>
      <c r="K38" s="20"/>
      <c r="L38" s="509"/>
      <c r="M38" s="21"/>
      <c r="N38" s="1"/>
      <c r="O38" s="19"/>
      <c r="P38" s="60"/>
      <c r="Q38" s="552"/>
      <c r="R38" s="38"/>
      <c r="S38" s="23"/>
      <c r="T38" s="22"/>
      <c r="V38" s="46"/>
    </row>
    <row r="39" spans="1:32" x14ac:dyDescent="0.25">
      <c r="A39" s="19" t="s">
        <v>34</v>
      </c>
      <c r="B39" s="130">
        <v>0</v>
      </c>
      <c r="C39" s="457">
        <v>0</v>
      </c>
      <c r="D39" s="450">
        <f>B39-C39</f>
        <v>0</v>
      </c>
      <c r="E39" s="20"/>
      <c r="F39" s="38">
        <f>B39-E39</f>
        <v>0</v>
      </c>
      <c r="G39" s="5"/>
      <c r="H39" s="19" t="s">
        <v>15</v>
      </c>
      <c r="I39" s="20">
        <f>L39</f>
        <v>382047</v>
      </c>
      <c r="J39" s="23">
        <f>Q12+C42</f>
        <v>308306</v>
      </c>
      <c r="K39" s="23">
        <f>+J39-L39</f>
        <v>-73741</v>
      </c>
      <c r="L39" s="509">
        <f>E42+S12</f>
        <v>382047</v>
      </c>
      <c r="M39" s="21">
        <f>I39-L39</f>
        <v>0</v>
      </c>
      <c r="N39" s="1"/>
      <c r="O39" s="19" t="s">
        <v>15</v>
      </c>
      <c r="P39" s="60">
        <f>+S39</f>
        <v>190113</v>
      </c>
      <c r="Q39" s="552">
        <f>+P39</f>
        <v>190113</v>
      </c>
      <c r="R39" s="22">
        <f>P39-Q39</f>
        <v>0</v>
      </c>
      <c r="S39" s="48">
        <f>+E42-30195</f>
        <v>190113</v>
      </c>
      <c r="T39" s="22">
        <f>P39-S39</f>
        <v>0</v>
      </c>
      <c r="U39" s="598"/>
      <c r="V39" s="46"/>
    </row>
    <row r="40" spans="1:32" ht="15.75" thickBot="1" x14ac:dyDescent="0.3">
      <c r="A40" s="19" t="s">
        <v>14</v>
      </c>
      <c r="B40" s="24">
        <f>+B37-B38-B39</f>
        <v>92504.89</v>
      </c>
      <c r="C40" s="461">
        <v>91223.936096093676</v>
      </c>
      <c r="D40" s="454">
        <f>B40-C40</f>
        <v>1280.9539039063238</v>
      </c>
      <c r="E40" s="580">
        <f>E37-E38</f>
        <v>5272</v>
      </c>
      <c r="F40" s="40">
        <f>+F37+F38-F39</f>
        <v>-793241.51</v>
      </c>
      <c r="G40" s="5"/>
      <c r="H40" s="19"/>
      <c r="I40" s="20"/>
      <c r="J40" s="23"/>
      <c r="K40" s="23"/>
      <c r="L40" s="509"/>
      <c r="M40" s="21"/>
      <c r="N40" s="1"/>
      <c r="O40" s="19" t="s">
        <v>16</v>
      </c>
      <c r="P40" s="555">
        <f>P37+P39</f>
        <v>291330.25</v>
      </c>
      <c r="Q40" s="78" t="e">
        <f>+Q37+Q39</f>
        <v>#REF!</v>
      </c>
      <c r="R40" s="313" t="e">
        <f>P40-Q40</f>
        <v>#REF!</v>
      </c>
      <c r="S40" s="516">
        <f>S37+S39</f>
        <v>198385</v>
      </c>
      <c r="T40" s="55">
        <f>P40-S40</f>
        <v>92945.25</v>
      </c>
      <c r="U40" s="46"/>
    </row>
    <row r="41" spans="1:32" ht="16.5" thickTop="1" thickBot="1" x14ac:dyDescent="0.3">
      <c r="A41" s="19"/>
      <c r="B41" s="324"/>
      <c r="C41" s="455"/>
      <c r="D41" s="456"/>
      <c r="E41" s="6"/>
      <c r="F41" s="42"/>
      <c r="G41" s="5"/>
      <c r="H41" s="19" t="s">
        <v>16</v>
      </c>
      <c r="I41" s="516">
        <f>I39+I37</f>
        <v>510085.81</v>
      </c>
      <c r="J41" s="517">
        <f>C43+Q13</f>
        <v>233149.88890499994</v>
      </c>
      <c r="K41" s="517">
        <f>I41-J41</f>
        <v>276935.92109500006</v>
      </c>
      <c r="L41" s="535">
        <f>L39+L37</f>
        <v>339130</v>
      </c>
      <c r="M41" s="522">
        <f>I41-L41</f>
        <v>170955.81</v>
      </c>
      <c r="N41" s="1"/>
      <c r="O41" s="19"/>
      <c r="P41" s="324"/>
      <c r="Q41" s="53"/>
      <c r="R41" s="42"/>
      <c r="S41" s="6"/>
      <c r="T41" s="42"/>
      <c r="V41" s="46"/>
    </row>
    <row r="42" spans="1:32" ht="15.75" thickTop="1" x14ac:dyDescent="0.25">
      <c r="A42" s="19" t="s">
        <v>15</v>
      </c>
      <c r="B42" s="502">
        <v>220308</v>
      </c>
      <c r="C42" s="449">
        <v>146567</v>
      </c>
      <c r="D42" s="450">
        <f>E42-C42</f>
        <v>73741</v>
      </c>
      <c r="E42" s="581">
        <v>220308</v>
      </c>
      <c r="F42" s="41">
        <f>E42-B42</f>
        <v>0</v>
      </c>
      <c r="G42" s="5"/>
      <c r="H42" s="19"/>
      <c r="I42" s="23"/>
      <c r="J42" s="23"/>
      <c r="K42" s="23"/>
      <c r="L42" s="536"/>
      <c r="M42" s="249"/>
      <c r="N42" s="1"/>
      <c r="O42" s="26" t="s">
        <v>17</v>
      </c>
      <c r="P42" s="324"/>
      <c r="Q42" s="53"/>
      <c r="R42" s="42"/>
      <c r="S42" s="6"/>
      <c r="T42" s="22"/>
      <c r="V42" s="46"/>
    </row>
    <row r="43" spans="1:32" ht="15.75" thickBot="1" x14ac:dyDescent="0.3">
      <c r="A43" s="19" t="s">
        <v>16</v>
      </c>
      <c r="B43" s="83">
        <f>B40+B42</f>
        <v>312812.89</v>
      </c>
      <c r="C43" s="451">
        <v>237790.93609609368</v>
      </c>
      <c r="D43" s="454">
        <f>B43-C43</f>
        <v>75021.953903906338</v>
      </c>
      <c r="E43" s="515">
        <f>E42+E40</f>
        <v>225580</v>
      </c>
      <c r="F43" s="40">
        <f>B43-E43</f>
        <v>87232.890000000014</v>
      </c>
      <c r="G43" s="5"/>
      <c r="H43" s="26" t="s">
        <v>17</v>
      </c>
      <c r="I43" s="6"/>
      <c r="J43" s="6"/>
      <c r="K43" s="6"/>
      <c r="L43" s="510"/>
      <c r="M43" s="25"/>
      <c r="N43" s="1"/>
      <c r="O43" s="19" t="s">
        <v>22</v>
      </c>
      <c r="P43" s="323">
        <f>+B47</f>
        <v>176330.44</v>
      </c>
      <c r="Q43" s="51">
        <f>+C47</f>
        <v>30904.306096093671</v>
      </c>
      <c r="R43" s="43">
        <f>P43-Q43</f>
        <v>145426.13390390633</v>
      </c>
      <c r="S43" s="20">
        <f>+E47</f>
        <v>83385</v>
      </c>
      <c r="T43" s="38">
        <f>P43-S43</f>
        <v>92945.44</v>
      </c>
    </row>
    <row r="44" spans="1:32" ht="15.75" thickTop="1" x14ac:dyDescent="0.25">
      <c r="A44" s="19"/>
      <c r="B44" s="324"/>
      <c r="C44" s="455"/>
      <c r="D44" s="456"/>
      <c r="E44" s="6"/>
      <c r="F44" s="42"/>
      <c r="G44" s="5"/>
      <c r="H44" s="19" t="s">
        <v>21</v>
      </c>
      <c r="I44" s="20">
        <f>B17</f>
        <v>39047.230000000003</v>
      </c>
      <c r="J44" s="20">
        <f>+Q17</f>
        <v>39046</v>
      </c>
      <c r="K44" s="20">
        <f t="shared" ref="K44:K48" si="3">I44-J44</f>
        <v>1.2300000000032014</v>
      </c>
      <c r="L44" s="509">
        <v>39046</v>
      </c>
      <c r="M44" s="21">
        <f t="shared" ref="M44:M52" si="4">I44-L44</f>
        <v>1.2300000000032014</v>
      </c>
      <c r="N44" s="1"/>
      <c r="O44" s="19" t="s">
        <v>23</v>
      </c>
      <c r="P44" s="323">
        <f>B48</f>
        <v>115000</v>
      </c>
      <c r="Q44" s="51">
        <f>+C48</f>
        <v>145000</v>
      </c>
      <c r="R44" s="573">
        <f>P44-Q44</f>
        <v>-30000</v>
      </c>
      <c r="S44" s="20">
        <f>+E48</f>
        <v>115000</v>
      </c>
      <c r="T44" s="38">
        <f>P44-S44</f>
        <v>0</v>
      </c>
      <c r="U44" s="48"/>
    </row>
    <row r="45" spans="1:32" ht="15.75" thickBot="1" x14ac:dyDescent="0.3">
      <c r="A45" s="26" t="s">
        <v>17</v>
      </c>
      <c r="B45" s="324"/>
      <c r="C45" s="455"/>
      <c r="D45" s="456"/>
      <c r="E45" s="6"/>
      <c r="F45" s="42"/>
      <c r="G45" s="5"/>
      <c r="H45" s="19" t="s">
        <v>35</v>
      </c>
      <c r="I45" s="20">
        <f>B46</f>
        <v>21482.45</v>
      </c>
      <c r="J45" s="20">
        <f>+C46</f>
        <v>50682.92</v>
      </c>
      <c r="K45" s="20">
        <f t="shared" si="3"/>
        <v>-29200.469999999998</v>
      </c>
      <c r="L45" s="509">
        <f>+E46</f>
        <v>27195</v>
      </c>
      <c r="M45" s="21">
        <f t="shared" si="4"/>
        <v>-5712.5499999999993</v>
      </c>
      <c r="N45" s="1"/>
      <c r="O45" s="29" t="s">
        <v>25</v>
      </c>
      <c r="P45" s="574">
        <f>SUM(P43:P44)</f>
        <v>291330.44</v>
      </c>
      <c r="Q45" s="575">
        <f>SUM(Q43:Q44)</f>
        <v>175904.30609609367</v>
      </c>
      <c r="R45" s="576">
        <f>SUM(R43:R44)</f>
        <v>115426.13390390633</v>
      </c>
      <c r="S45" s="577">
        <f>SUM(S43:S44)</f>
        <v>198385</v>
      </c>
      <c r="T45" s="578">
        <f>SUM(T43:T44)</f>
        <v>92945.44</v>
      </c>
    </row>
    <row r="46" spans="1:32" x14ac:dyDescent="0.25">
      <c r="A46" s="19" t="s">
        <v>35</v>
      </c>
      <c r="B46" s="323">
        <f>'LWVC Summary'!C17</f>
        <v>21482.45</v>
      </c>
      <c r="C46" s="466">
        <v>50682.92</v>
      </c>
      <c r="D46" s="458">
        <f>B46-C46</f>
        <v>-29200.469999999998</v>
      </c>
      <c r="E46" s="20">
        <f>30195-3000</f>
        <v>27195</v>
      </c>
      <c r="F46" s="38">
        <f>B46-E46</f>
        <v>-5712.5499999999993</v>
      </c>
      <c r="G46" s="5"/>
      <c r="H46" s="19" t="s">
        <v>22</v>
      </c>
      <c r="I46" s="20">
        <f>+B47+P18</f>
        <v>153884.49</v>
      </c>
      <c r="J46" s="20">
        <f>+C47+Q18</f>
        <v>55904.306096093671</v>
      </c>
      <c r="K46" s="20">
        <f t="shared" si="3"/>
        <v>97980.18390390632</v>
      </c>
      <c r="L46" s="509">
        <f>+S18</f>
        <v>32636</v>
      </c>
      <c r="M46" s="21">
        <f t="shared" si="4"/>
        <v>121248.48999999999</v>
      </c>
      <c r="N46" s="1"/>
      <c r="O46" s="6"/>
      <c r="P46" s="597">
        <f>+P45-P40</f>
        <v>0.19000000000232831</v>
      </c>
      <c r="Q46" s="34"/>
      <c r="R46" s="5"/>
      <c r="S46" s="603" t="s">
        <v>29</v>
      </c>
      <c r="T46" s="6"/>
      <c r="V46" s="46"/>
      <c r="W46" s="46"/>
    </row>
    <row r="47" spans="1:32" ht="19.5" thickBot="1" x14ac:dyDescent="0.35">
      <c r="A47" s="19" t="s">
        <v>22</v>
      </c>
      <c r="B47" s="357">
        <f>+B43-B46-B48</f>
        <v>176330.44</v>
      </c>
      <c r="C47" s="466">
        <v>30904.306096093671</v>
      </c>
      <c r="D47" s="458">
        <f>B47-C47</f>
        <v>145426.13390390633</v>
      </c>
      <c r="E47" s="20">
        <f>E43-E46-E48</f>
        <v>83385</v>
      </c>
      <c r="F47" s="38">
        <f>B47-E47</f>
        <v>92945.44</v>
      </c>
      <c r="G47" s="5"/>
      <c r="H47" s="523" t="s">
        <v>23</v>
      </c>
      <c r="I47" s="595">
        <f>+B48+P19</f>
        <v>123221.8</v>
      </c>
      <c r="J47" s="524">
        <f>+C48+C19</f>
        <v>184373.59783562497</v>
      </c>
      <c r="K47" s="525">
        <f t="shared" si="3"/>
        <v>-61151.797835624966</v>
      </c>
      <c r="L47" s="514">
        <f>+E48+S19</f>
        <v>123222</v>
      </c>
      <c r="M47" s="528">
        <f t="shared" si="4"/>
        <v>-0.19999999999708962</v>
      </c>
      <c r="N47" s="1"/>
      <c r="O47" s="9" t="s">
        <v>37</v>
      </c>
      <c r="P47" s="23"/>
      <c r="Q47" s="7"/>
      <c r="R47" s="7"/>
      <c r="S47" s="6"/>
      <c r="T47" s="6"/>
      <c r="V47" s="46"/>
      <c r="W47" s="46"/>
    </row>
    <row r="48" spans="1:32" ht="45.75" thickBot="1" x14ac:dyDescent="0.3">
      <c r="A48" s="19" t="s">
        <v>23</v>
      </c>
      <c r="B48" s="357">
        <v>115000</v>
      </c>
      <c r="C48" s="473">
        <v>145000</v>
      </c>
      <c r="D48" s="458">
        <f>B48-C48</f>
        <v>-30000</v>
      </c>
      <c r="E48" s="20">
        <v>115000</v>
      </c>
      <c r="F48" s="38">
        <f>B48-E48</f>
        <v>0</v>
      </c>
      <c r="G48" s="5"/>
      <c r="H48" s="547" t="s">
        <v>25</v>
      </c>
      <c r="I48" s="596">
        <f>SUM(I44:I47)</f>
        <v>337635.97</v>
      </c>
      <c r="J48" s="548">
        <f>SUM(J44:J47)</f>
        <v>330006.82393171859</v>
      </c>
      <c r="K48" s="549">
        <f t="shared" si="3"/>
        <v>7629.1460682813777</v>
      </c>
      <c r="L48" s="537">
        <f>SUM(L44:L47)</f>
        <v>222099</v>
      </c>
      <c r="M48" s="529">
        <f t="shared" si="4"/>
        <v>115536.96999999997</v>
      </c>
      <c r="N48" s="1"/>
      <c r="O48" s="16"/>
      <c r="P48" s="11" t="s">
        <v>476</v>
      </c>
      <c r="Q48" s="36" t="s">
        <v>3</v>
      </c>
      <c r="R48" s="579" t="s">
        <v>38</v>
      </c>
      <c r="S48" s="37" t="s">
        <v>5</v>
      </c>
      <c r="T48" s="13" t="s">
        <v>39</v>
      </c>
      <c r="U48" s="1"/>
      <c r="V48" s="46"/>
    </row>
    <row r="49" spans="1:43" ht="15.75" thickBot="1" x14ac:dyDescent="0.3">
      <c r="A49" s="29" t="s">
        <v>41</v>
      </c>
      <c r="B49" s="330">
        <f>SUM(B46:B48)</f>
        <v>312812.89</v>
      </c>
      <c r="C49" s="459">
        <f>C43</f>
        <v>237790.93609609368</v>
      </c>
      <c r="D49" s="474">
        <f>SUM(D46:D48)</f>
        <v>86225.66390390633</v>
      </c>
      <c r="E49" s="582">
        <f>SUM(E46:E48)</f>
        <v>225580</v>
      </c>
      <c r="F49" s="62">
        <f>B49-E49</f>
        <v>87232.890000000014</v>
      </c>
      <c r="G49" s="5"/>
      <c r="H49" s="356"/>
      <c r="I49" s="544"/>
      <c r="J49" s="226"/>
      <c r="K49" s="355"/>
      <c r="L49" s="545"/>
      <c r="M49" s="546"/>
      <c r="N49" s="1"/>
      <c r="O49" s="16"/>
      <c r="P49" s="37"/>
      <c r="Q49" s="36"/>
      <c r="R49" s="579"/>
      <c r="S49" s="37"/>
      <c r="T49" s="13"/>
    </row>
    <row r="50" spans="1:43" s="2" customFormat="1" ht="25.5" customHeight="1" x14ac:dyDescent="0.25">
      <c r="A50" s="32"/>
      <c r="B50" s="23"/>
      <c r="C50" s="6"/>
      <c r="D50" s="6"/>
      <c r="E50" s="6"/>
      <c r="F50" s="6"/>
      <c r="G50" s="5"/>
      <c r="H50" s="31" t="s">
        <v>40</v>
      </c>
      <c r="I50" s="593">
        <f>I16</f>
        <v>95871.95</v>
      </c>
      <c r="J50" s="508" t="e">
        <f>+#REF!</f>
        <v>#REF!</v>
      </c>
      <c r="K50" s="72" t="e">
        <f t="shared" ref="K50:K52" si="5">I50-J50</f>
        <v>#REF!</v>
      </c>
      <c r="L50" s="538">
        <f>+L16</f>
        <v>3938</v>
      </c>
      <c r="M50" s="530">
        <f t="shared" si="4"/>
        <v>91933.95</v>
      </c>
      <c r="N50" s="1"/>
      <c r="O50" s="16" t="s">
        <v>7</v>
      </c>
      <c r="P50" s="571">
        <f>+P34+B4</f>
        <v>271491.93</v>
      </c>
      <c r="Q50" s="71">
        <f>C4+Q34</f>
        <v>689669.02999999991</v>
      </c>
      <c r="R50" s="84">
        <f>P50-Q50</f>
        <v>-418177.09999999992</v>
      </c>
      <c r="S50" s="519">
        <f>E4+E34</f>
        <v>726560</v>
      </c>
      <c r="T50" s="84">
        <f>P50-S50</f>
        <v>-455068.07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s="2" customFormat="1" x14ac:dyDescent="0.25">
      <c r="A51" s="307" t="s">
        <v>43</v>
      </c>
      <c r="B51" s="307"/>
      <c r="C51" s="308"/>
      <c r="D51" s="307"/>
      <c r="E51" s="309"/>
      <c r="F51" s="336"/>
      <c r="G51" s="5"/>
      <c r="H51" s="19" t="s">
        <v>20</v>
      </c>
      <c r="I51" s="593">
        <f>+P23</f>
        <v>37158.480000000003</v>
      </c>
      <c r="J51" s="72">
        <f>+Q22</f>
        <v>53000</v>
      </c>
      <c r="K51" s="72">
        <f t="shared" si="5"/>
        <v>-15841.519999999997</v>
      </c>
      <c r="L51" s="538">
        <f>+L17</f>
        <v>35707</v>
      </c>
      <c r="M51" s="530">
        <f t="shared" si="4"/>
        <v>1451.4800000000032</v>
      </c>
      <c r="N51" s="1"/>
      <c r="O51" s="19" t="s">
        <v>10</v>
      </c>
      <c r="P51" s="572">
        <f>P35+B7</f>
        <v>157057.59999999998</v>
      </c>
      <c r="Q51" s="552">
        <f>+Q35+C7</f>
        <v>568069.12606828124</v>
      </c>
      <c r="R51" s="22">
        <f>P51-Q51</f>
        <v>-411011.52606828127</v>
      </c>
      <c r="S51" s="553">
        <f>E38-28000+E7</f>
        <v>685860</v>
      </c>
      <c r="T51" s="43">
        <f>P51-S51</f>
        <v>-528802.4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s="2" customFormat="1" x14ac:dyDescent="0.25">
      <c r="A52" s="303"/>
      <c r="B52" s="304" t="s">
        <v>44</v>
      </c>
      <c r="C52" s="303"/>
      <c r="D52" s="303"/>
      <c r="E52" s="304" t="s">
        <v>45</v>
      </c>
      <c r="F52" s="307" t="s">
        <v>46</v>
      </c>
      <c r="G52" s="6"/>
      <c r="H52" s="19" t="str">
        <f>H20</f>
        <v>RESTRICTED: Easy Voter (PLP)</v>
      </c>
      <c r="I52" s="374">
        <f>+P24</f>
        <v>-25126.03</v>
      </c>
      <c r="J52" s="20">
        <f>+J20</f>
        <v>0</v>
      </c>
      <c r="K52" s="72">
        <f t="shared" si="5"/>
        <v>-25126.03</v>
      </c>
      <c r="L52" s="509">
        <f>L20</f>
        <v>0</v>
      </c>
      <c r="M52" s="530">
        <f t="shared" si="4"/>
        <v>-25126.03</v>
      </c>
      <c r="N52" s="1"/>
      <c r="O52" s="19" t="s">
        <v>42</v>
      </c>
      <c r="P52" s="572">
        <f>+B9</f>
        <v>0</v>
      </c>
      <c r="Q52" s="552">
        <f>+C9</f>
        <v>40300</v>
      </c>
      <c r="R52" s="22">
        <f>P52-Q52</f>
        <v>-40300</v>
      </c>
      <c r="S52" s="553"/>
      <c r="T52" s="43">
        <f>P52-S52</f>
        <v>0</v>
      </c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15.75" thickBot="1" x14ac:dyDescent="0.3">
      <c r="A53" s="303"/>
      <c r="B53" s="305"/>
      <c r="C53" s="303"/>
      <c r="D53" s="303"/>
      <c r="E53" s="305"/>
      <c r="F53" s="303"/>
      <c r="G53" s="5"/>
      <c r="H53" s="19" t="s">
        <v>465</v>
      </c>
      <c r="I53" s="374">
        <f>+I18</f>
        <v>50000</v>
      </c>
      <c r="J53" s="6"/>
      <c r="K53" s="6"/>
      <c r="L53" s="510"/>
      <c r="M53" s="25"/>
      <c r="N53" s="1"/>
      <c r="O53" s="19" t="s">
        <v>14</v>
      </c>
      <c r="P53" s="39">
        <f>P50-P51-P52</f>
        <v>114434.33000000002</v>
      </c>
      <c r="Q53" s="78" t="e">
        <f>Q50-Q51+#REF!-Q52</f>
        <v>#REF!</v>
      </c>
      <c r="R53" s="40" t="e">
        <f>P53-Q53</f>
        <v>#REF!</v>
      </c>
      <c r="S53" s="39">
        <f>S50-S51-S52</f>
        <v>40700</v>
      </c>
      <c r="T53" s="39">
        <f>T50-T51-T52</f>
        <v>73734.330000000016</v>
      </c>
    </row>
    <row r="54" spans="1:43" ht="15.75" thickTop="1" x14ac:dyDescent="0.25">
      <c r="A54" s="303"/>
      <c r="B54" s="306"/>
      <c r="C54" s="303"/>
      <c r="D54" s="303"/>
      <c r="E54" s="306"/>
      <c r="F54" s="310"/>
      <c r="G54" s="6"/>
      <c r="H54" s="19" t="s">
        <v>466</v>
      </c>
      <c r="I54" s="594">
        <f>+I19</f>
        <v>14545</v>
      </c>
      <c r="J54" s="6"/>
      <c r="K54" s="6"/>
      <c r="L54" s="511"/>
      <c r="M54" s="531"/>
      <c r="N54" s="1"/>
      <c r="O54" s="19"/>
      <c r="P54" s="60"/>
      <c r="Q54" s="552"/>
      <c r="R54" s="38"/>
      <c r="S54" s="23"/>
      <c r="T54" s="22"/>
    </row>
    <row r="55" spans="1:43" ht="15.75" thickBot="1" x14ac:dyDescent="0.3">
      <c r="A55" s="370"/>
      <c r="B55" s="306"/>
      <c r="C55" s="333"/>
      <c r="D55" s="303"/>
      <c r="E55" s="306"/>
      <c r="F55" s="310"/>
      <c r="G55" s="6"/>
      <c r="H55" s="512" t="s">
        <v>26</v>
      </c>
      <c r="I55" s="541">
        <f>SUM(I50:I54)</f>
        <v>172449.4</v>
      </c>
      <c r="J55" s="74" t="e">
        <f>SUM(J50:J52)</f>
        <v>#REF!</v>
      </c>
      <c r="K55" s="526" t="e">
        <f>I55-J55</f>
        <v>#REF!</v>
      </c>
      <c r="L55" s="539">
        <f>SUM(L50:L52)</f>
        <v>39645</v>
      </c>
      <c r="M55" s="542">
        <f>SUM(M50:M52)</f>
        <v>68259.399999999994</v>
      </c>
      <c r="N55" s="1"/>
      <c r="O55" s="19" t="s">
        <v>15</v>
      </c>
      <c r="P55" s="60">
        <f>+S55</f>
        <v>201719</v>
      </c>
      <c r="Q55" s="552">
        <f>+Q39+C12</f>
        <v>272486</v>
      </c>
      <c r="R55" s="22">
        <f>Q55-S55</f>
        <v>70767</v>
      </c>
      <c r="S55" s="23">
        <f>E42+E12-30195</f>
        <v>201719</v>
      </c>
      <c r="T55" s="22">
        <f>P55-S55</f>
        <v>0</v>
      </c>
    </row>
    <row r="56" spans="1:43" ht="15.75" thickBot="1" x14ac:dyDescent="0.3">
      <c r="A56" s="5"/>
      <c r="B56" s="5"/>
      <c r="C56" s="5"/>
      <c r="D56" s="5"/>
      <c r="E56" s="5"/>
      <c r="F56" s="5"/>
      <c r="G56" s="6"/>
      <c r="H56" s="29" t="s">
        <v>47</v>
      </c>
      <c r="I56" s="543">
        <f>+I55+I48</f>
        <v>510085.37</v>
      </c>
      <c r="J56" s="513" t="e">
        <f>+J55+J48</f>
        <v>#REF!</v>
      </c>
      <c r="K56" s="527" t="e">
        <f>I56-J56</f>
        <v>#REF!</v>
      </c>
      <c r="L56" s="540">
        <f>L55+L48</f>
        <v>261744</v>
      </c>
      <c r="M56" s="532">
        <f>I56-L56</f>
        <v>248341.37</v>
      </c>
      <c r="N56" s="1"/>
      <c r="O56" s="19" t="s">
        <v>16</v>
      </c>
      <c r="P56" s="555">
        <f>P53+P55</f>
        <v>316153.33</v>
      </c>
      <c r="Q56" s="78" t="e">
        <f>+Q53+Q55</f>
        <v>#REF!</v>
      </c>
      <c r="R56" s="313" t="e">
        <f>P56-Q56</f>
        <v>#REF!</v>
      </c>
      <c r="S56" s="516">
        <f>S53+S55</f>
        <v>242419</v>
      </c>
      <c r="T56" s="55">
        <f>P56-S56</f>
        <v>73734.330000000016</v>
      </c>
      <c r="V56" s="302"/>
    </row>
    <row r="57" spans="1:43" x14ac:dyDescent="0.25">
      <c r="A57" s="5"/>
      <c r="B57" s="5"/>
      <c r="C57" s="5"/>
      <c r="D57" s="5"/>
      <c r="E57" s="5"/>
      <c r="F57" s="5"/>
      <c r="G57" s="6"/>
      <c r="H57" s="5"/>
      <c r="I57" s="604">
        <f>+I56-I41</f>
        <v>-0.44000000000232831</v>
      </c>
      <c r="J57" s="603"/>
      <c r="K57" s="603"/>
      <c r="L57" s="603" t="s">
        <v>29</v>
      </c>
      <c r="M57" s="2"/>
      <c r="N57" s="1"/>
      <c r="O57" s="19"/>
      <c r="P57" s="324"/>
      <c r="Q57" s="53"/>
      <c r="R57" s="42"/>
      <c r="S57" s="6"/>
      <c r="T57" s="42"/>
    </row>
    <row r="58" spans="1:43" x14ac:dyDescent="0.25">
      <c r="A58" s="5"/>
      <c r="B58" s="5"/>
      <c r="C58" s="5"/>
      <c r="D58" s="5"/>
      <c r="E58" s="5"/>
      <c r="F58" s="5"/>
      <c r="G58" s="6"/>
      <c r="H58" s="5"/>
      <c r="I58" s="5"/>
      <c r="J58" s="5"/>
      <c r="K58" s="5"/>
      <c r="L58" s="5"/>
      <c r="M58" s="5"/>
      <c r="N58" s="6"/>
      <c r="O58" s="26" t="s">
        <v>17</v>
      </c>
      <c r="P58" s="324"/>
      <c r="Q58" s="53"/>
      <c r="R58" s="42"/>
      <c r="S58" s="6"/>
      <c r="T58" s="22"/>
    </row>
    <row r="59" spans="1:43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6"/>
      <c r="O59" s="19" t="str">
        <f>H44</f>
        <v>Strategic Initiative</v>
      </c>
      <c r="P59" s="374">
        <f>B17</f>
        <v>39047.230000000003</v>
      </c>
      <c r="Q59" s="552">
        <f>J44</f>
        <v>39046</v>
      </c>
      <c r="R59" s="22">
        <f>P59-Q59</f>
        <v>1.2300000000032014</v>
      </c>
      <c r="S59" s="20">
        <f>+E17</f>
        <v>33047</v>
      </c>
      <c r="T59" s="38">
        <f>P59-S59</f>
        <v>6000.2300000000032</v>
      </c>
    </row>
    <row r="60" spans="1:43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6"/>
      <c r="O60" s="19" t="s">
        <v>22</v>
      </c>
      <c r="P60" s="323">
        <f>+B47+B18</f>
        <v>153884.49</v>
      </c>
      <c r="Q60" s="51">
        <f>C47+C18</f>
        <v>55904.306096093671</v>
      </c>
      <c r="R60" s="43">
        <f>P60-Q60</f>
        <v>97980.18390390632</v>
      </c>
      <c r="S60" s="20">
        <f>E18+E47</f>
        <v>116021</v>
      </c>
      <c r="T60" s="38">
        <f>P60-S60</f>
        <v>37863.489999999991</v>
      </c>
    </row>
    <row r="61" spans="1:43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6"/>
      <c r="O61" s="19" t="s">
        <v>23</v>
      </c>
      <c r="P61" s="323">
        <f>+P44+B19</f>
        <v>123221.8</v>
      </c>
      <c r="Q61" s="51">
        <f>+C48+C19</f>
        <v>184373.59783562497</v>
      </c>
      <c r="R61" s="573">
        <f>P61-Q61</f>
        <v>-61151.797835624966</v>
      </c>
      <c r="S61" s="20">
        <f>E48+E19</f>
        <v>123222</v>
      </c>
      <c r="T61" s="38">
        <f>P61-S61</f>
        <v>-0.19999999999708962</v>
      </c>
    </row>
    <row r="62" spans="1:43" ht="15.75" thickBo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  <c r="O62" s="29" t="s">
        <v>25</v>
      </c>
      <c r="P62" s="574">
        <f>SUM(P59:P61)</f>
        <v>316153.52</v>
      </c>
      <c r="Q62" s="575">
        <f>SUM(Q59:Q61)</f>
        <v>279323.90393171867</v>
      </c>
      <c r="R62" s="576">
        <f>SUM(R59:R61)</f>
        <v>36829.616068281364</v>
      </c>
      <c r="S62" s="577">
        <f>SUM(S59:S61)</f>
        <v>272290</v>
      </c>
      <c r="T62" s="578">
        <f>SUM(T59:T61)</f>
        <v>43863.519999999997</v>
      </c>
    </row>
    <row r="63" spans="1:43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6"/>
      <c r="O63" s="6"/>
      <c r="P63" s="48"/>
      <c r="Q63" s="48"/>
      <c r="R63" s="1"/>
      <c r="S63" s="1"/>
      <c r="T63" s="6"/>
    </row>
    <row r="64" spans="1:43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6"/>
      <c r="N64" s="6"/>
      <c r="O64" s="6"/>
      <c r="P64" s="597">
        <f>+P62-P56</f>
        <v>0.19000000000232831</v>
      </c>
      <c r="Q64" s="196"/>
      <c r="R64" s="196"/>
      <c r="S64" s="603" t="s">
        <v>29</v>
      </c>
      <c r="T64" s="6"/>
      <c r="U64" s="46"/>
      <c r="V64" s="46"/>
    </row>
    <row r="65" spans="1:43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6"/>
      <c r="N65" s="6"/>
      <c r="O65" s="6"/>
      <c r="P65" s="23"/>
      <c r="Q65" s="6"/>
      <c r="R65" s="6"/>
      <c r="S65" s="6"/>
      <c r="T65" s="6"/>
      <c r="V65" s="46"/>
    </row>
    <row r="66" spans="1:43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6"/>
      <c r="N66" s="6"/>
      <c r="O66" s="6"/>
      <c r="P66" s="23"/>
      <c r="Q66" s="5"/>
      <c r="R66" s="5"/>
      <c r="S66" s="6"/>
      <c r="T66" s="6"/>
      <c r="V66" s="46"/>
    </row>
    <row r="67" spans="1:43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6"/>
      <c r="N67" s="6"/>
      <c r="O67" s="6"/>
      <c r="P67" s="23"/>
      <c r="Q67" s="5"/>
      <c r="R67" s="5"/>
      <c r="S67" s="6"/>
      <c r="T67" s="6"/>
      <c r="AH67" s="360"/>
      <c r="AI67" s="360"/>
      <c r="AJ67" s="360"/>
      <c r="AK67" s="360"/>
      <c r="AL67" s="360"/>
      <c r="AM67" s="360"/>
      <c r="AN67" s="360"/>
      <c r="AO67" s="360"/>
      <c r="AP67" s="360"/>
      <c r="AQ67" s="360"/>
    </row>
    <row r="68" spans="1:43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6"/>
      <c r="O68" s="6"/>
      <c r="P68" s="6"/>
      <c r="Q68" s="5"/>
      <c r="R68" s="5"/>
      <c r="S68" s="6"/>
      <c r="T68" s="6"/>
      <c r="U68" s="1"/>
      <c r="V68" s="1"/>
      <c r="W68" s="1"/>
      <c r="X68" s="1"/>
      <c r="Y68" s="1"/>
      <c r="Z68" s="1"/>
      <c r="AA68" s="1"/>
      <c r="AH68" s="360"/>
      <c r="AI68" s="360"/>
      <c r="AJ68" s="360"/>
      <c r="AK68" s="360"/>
      <c r="AL68" s="360"/>
      <c r="AM68" s="360"/>
      <c r="AN68" s="360"/>
      <c r="AO68" s="360"/>
      <c r="AP68" s="360"/>
      <c r="AQ68" s="360"/>
    </row>
    <row r="69" spans="1:43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6"/>
      <c r="O69" s="6"/>
      <c r="P69" s="6"/>
      <c r="Q69" s="5"/>
      <c r="R69" s="5"/>
      <c r="S69" s="6"/>
      <c r="T69" s="6"/>
      <c r="U69" s="1"/>
      <c r="V69" s="1"/>
      <c r="W69" s="1"/>
      <c r="X69" s="1"/>
      <c r="Y69" s="1"/>
      <c r="Z69" s="1"/>
      <c r="AA69" s="1"/>
      <c r="AH69" s="360"/>
      <c r="AI69" s="360"/>
      <c r="AJ69" s="360"/>
      <c r="AK69" s="360"/>
      <c r="AL69" s="360"/>
      <c r="AM69" s="360"/>
      <c r="AN69" s="360"/>
      <c r="AO69" s="360"/>
      <c r="AP69" s="360"/>
      <c r="AQ69" s="360"/>
    </row>
    <row r="70" spans="1:43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6"/>
      <c r="O70" s="6"/>
      <c r="P70" s="6"/>
      <c r="Q70" s="5"/>
      <c r="R70" s="5"/>
      <c r="S70" s="6"/>
      <c r="T70" s="6"/>
    </row>
    <row r="71" spans="1:43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6"/>
      <c r="O71" s="6"/>
      <c r="P71" s="6"/>
      <c r="Q71" s="5"/>
      <c r="R71" s="5"/>
      <c r="S71" s="6"/>
      <c r="T71" s="6"/>
    </row>
    <row r="72" spans="1:43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6"/>
      <c r="O72" s="6"/>
      <c r="P72" s="6"/>
      <c r="Q72" s="5"/>
      <c r="R72" s="5"/>
      <c r="S72" s="6"/>
      <c r="T72" s="6"/>
    </row>
    <row r="73" spans="1:43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6"/>
      <c r="O73" s="6"/>
      <c r="P73" s="6"/>
      <c r="Q73" s="5"/>
      <c r="R73" s="5"/>
      <c r="S73" s="6"/>
      <c r="T73" s="6"/>
    </row>
    <row r="74" spans="1:43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P74" s="6"/>
      <c r="Q74" s="5"/>
      <c r="R74" s="5"/>
      <c r="S74" s="6"/>
      <c r="T74" s="6"/>
    </row>
  </sheetData>
  <pageMargins left="0.25" right="0.25" top="0.25" bottom="0.25" header="0.3" footer="0.3"/>
  <pageSetup paperSize="5" scale="50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F50"/>
  <sheetViews>
    <sheetView workbookViewId="0">
      <pane xSplit="7" ySplit="1" topLeftCell="H17" activePane="bottomRight" state="frozenSplit"/>
      <selection pane="topRight" activeCell="H1" sqref="H1"/>
      <selection pane="bottomLeft" activeCell="A2" sqref="A2"/>
      <selection pane="bottomRight" activeCell="Y31" sqref="Y31:Y33"/>
    </sheetView>
  </sheetViews>
  <sheetFormatPr defaultRowHeight="15" x14ac:dyDescent="0.25"/>
  <cols>
    <col min="1" max="6" width="3" style="369" customWidth="1"/>
    <col min="7" max="7" width="35.140625" style="369" customWidth="1"/>
    <col min="8" max="8" width="8.42578125" style="269" bestFit="1" customWidth="1"/>
    <col min="9" max="9" width="2.28515625" style="269" customWidth="1"/>
    <col min="10" max="10" width="8.42578125" style="269" bestFit="1" customWidth="1"/>
    <col min="11" max="11" width="2.28515625" style="269" customWidth="1"/>
    <col min="12" max="12" width="8.42578125" style="269" bestFit="1" customWidth="1"/>
    <col min="13" max="13" width="2.28515625" style="269" customWidth="1"/>
    <col min="14" max="14" width="8.42578125" style="269" bestFit="1" customWidth="1"/>
    <col min="15" max="15" width="2.28515625" style="269" customWidth="1"/>
    <col min="16" max="16" width="8.42578125" style="269" bestFit="1" customWidth="1"/>
    <col min="17" max="17" width="2.28515625" style="269" customWidth="1"/>
    <col min="18" max="18" width="8.42578125" style="269" bestFit="1" customWidth="1"/>
    <col min="19" max="19" width="2.28515625" style="269" customWidth="1"/>
    <col min="20" max="20" width="8.7109375" style="269" bestFit="1" customWidth="1"/>
    <col min="21" max="21" width="2.28515625" style="269" customWidth="1"/>
    <col min="22" max="22" width="8.42578125" style="269" bestFit="1" customWidth="1"/>
    <col min="23" max="23" width="2.28515625" style="269" customWidth="1"/>
    <col min="24" max="24" width="8.42578125" style="269" bestFit="1" customWidth="1"/>
    <col min="25" max="25" width="2.28515625" style="269" customWidth="1"/>
    <col min="26" max="26" width="8.42578125" style="269" bestFit="1" customWidth="1"/>
    <col min="27" max="27" width="2.28515625" style="269" customWidth="1"/>
    <col min="28" max="28" width="8.42578125" style="269" bestFit="1" customWidth="1"/>
    <col min="29" max="29" width="2.28515625" style="269" customWidth="1"/>
    <col min="30" max="30" width="8.42578125" style="269" bestFit="1" customWidth="1"/>
    <col min="31" max="31" width="2.28515625" style="269" customWidth="1"/>
    <col min="32" max="32" width="8.7109375" style="269" bestFit="1" customWidth="1"/>
    <col min="33" max="16384" width="9.140625" style="360"/>
  </cols>
  <sheetData>
    <row r="1" spans="1:32" s="364" customFormat="1" ht="15.75" thickBot="1" x14ac:dyDescent="0.3">
      <c r="A1" s="363"/>
      <c r="B1" s="363"/>
      <c r="C1" s="363"/>
      <c r="D1" s="363"/>
      <c r="E1" s="363"/>
      <c r="F1" s="363"/>
      <c r="G1" s="363"/>
      <c r="H1" s="301" t="s">
        <v>161</v>
      </c>
      <c r="I1" s="272"/>
      <c r="J1" s="301" t="s">
        <v>162</v>
      </c>
      <c r="K1" s="272"/>
      <c r="L1" s="301" t="s">
        <v>163</v>
      </c>
      <c r="M1" s="272"/>
      <c r="N1" s="301" t="s">
        <v>164</v>
      </c>
      <c r="O1" s="272"/>
      <c r="P1" s="301" t="s">
        <v>165</v>
      </c>
      <c r="Q1" s="272"/>
      <c r="R1" s="301" t="s">
        <v>166</v>
      </c>
      <c r="S1" s="272"/>
      <c r="T1" s="301" t="s">
        <v>431</v>
      </c>
      <c r="U1" s="272"/>
      <c r="V1" s="301" t="s">
        <v>436</v>
      </c>
      <c r="W1" s="272"/>
      <c r="X1" s="301" t="s">
        <v>440</v>
      </c>
      <c r="Y1" s="272"/>
      <c r="Z1" s="301" t="s">
        <v>445</v>
      </c>
      <c r="AA1" s="272"/>
      <c r="AB1" s="301" t="s">
        <v>459</v>
      </c>
      <c r="AC1" s="272"/>
      <c r="AD1" s="301" t="s">
        <v>472</v>
      </c>
      <c r="AE1" s="272"/>
      <c r="AF1" s="301" t="s">
        <v>129</v>
      </c>
    </row>
    <row r="2" spans="1:32" ht="15.75" thickTop="1" x14ac:dyDescent="0.25">
      <c r="B2" s="369" t="s">
        <v>130</v>
      </c>
      <c r="H2" s="366"/>
      <c r="I2" s="274"/>
      <c r="J2" s="366"/>
      <c r="K2" s="274"/>
      <c r="L2" s="366"/>
      <c r="M2" s="274"/>
      <c r="N2" s="366"/>
      <c r="O2" s="274"/>
      <c r="P2" s="366"/>
      <c r="Q2" s="274"/>
      <c r="R2" s="366"/>
      <c r="S2" s="274"/>
      <c r="T2" s="366"/>
      <c r="U2" s="274"/>
      <c r="V2" s="366"/>
      <c r="W2" s="274"/>
      <c r="X2" s="366"/>
      <c r="Y2" s="274"/>
      <c r="Z2" s="366"/>
      <c r="AA2" s="274"/>
      <c r="AB2" s="366"/>
      <c r="AC2" s="274"/>
      <c r="AD2" s="366"/>
      <c r="AE2" s="274"/>
      <c r="AF2" s="366"/>
    </row>
    <row r="3" spans="1:32" x14ac:dyDescent="0.25">
      <c r="D3" s="369" t="s">
        <v>131</v>
      </c>
      <c r="H3" s="366"/>
      <c r="I3" s="274"/>
      <c r="J3" s="366"/>
      <c r="K3" s="274"/>
      <c r="L3" s="366"/>
      <c r="M3" s="274"/>
      <c r="N3" s="366"/>
      <c r="O3" s="274"/>
      <c r="P3" s="366"/>
      <c r="Q3" s="274"/>
      <c r="R3" s="366"/>
      <c r="S3" s="274"/>
      <c r="T3" s="366"/>
      <c r="U3" s="274"/>
      <c r="V3" s="366"/>
      <c r="W3" s="274"/>
      <c r="X3" s="366"/>
      <c r="Y3" s="274"/>
      <c r="Z3" s="366"/>
      <c r="AA3" s="274"/>
      <c r="AB3" s="366"/>
      <c r="AC3" s="274"/>
      <c r="AD3" s="366"/>
      <c r="AE3" s="274"/>
      <c r="AF3" s="366"/>
    </row>
    <row r="4" spans="1:32" x14ac:dyDescent="0.25">
      <c r="E4" s="369" t="s">
        <v>133</v>
      </c>
      <c r="H4" s="366"/>
      <c r="I4" s="274"/>
      <c r="J4" s="366"/>
      <c r="K4" s="274"/>
      <c r="L4" s="366"/>
      <c r="M4" s="274"/>
      <c r="N4" s="366"/>
      <c r="O4" s="274"/>
      <c r="P4" s="366"/>
      <c r="Q4" s="274"/>
      <c r="R4" s="366"/>
      <c r="S4" s="274"/>
      <c r="T4" s="366"/>
      <c r="U4" s="274"/>
      <c r="V4" s="366"/>
      <c r="W4" s="274"/>
      <c r="X4" s="366"/>
      <c r="Y4" s="274"/>
      <c r="Z4" s="366"/>
      <c r="AA4" s="274"/>
      <c r="AB4" s="366"/>
      <c r="AC4" s="274"/>
      <c r="AD4" s="366"/>
      <c r="AE4" s="274"/>
      <c r="AF4" s="366"/>
    </row>
    <row r="5" spans="1:32" x14ac:dyDescent="0.25">
      <c r="F5" s="369" t="s">
        <v>334</v>
      </c>
      <c r="H5" s="366"/>
      <c r="I5" s="274"/>
      <c r="J5" s="366"/>
      <c r="K5" s="274"/>
      <c r="L5" s="366"/>
      <c r="M5" s="274"/>
      <c r="N5" s="366"/>
      <c r="O5" s="274"/>
      <c r="P5" s="366"/>
      <c r="Q5" s="274"/>
      <c r="R5" s="366"/>
      <c r="S5" s="274"/>
      <c r="T5" s="366"/>
      <c r="U5" s="274"/>
      <c r="V5" s="366"/>
      <c r="W5" s="274"/>
      <c r="X5" s="366"/>
      <c r="Y5" s="274"/>
      <c r="Z5" s="366"/>
      <c r="AA5" s="274"/>
      <c r="AB5" s="366"/>
      <c r="AC5" s="274"/>
      <c r="AD5" s="366"/>
      <c r="AE5" s="274"/>
      <c r="AF5" s="366"/>
    </row>
    <row r="6" spans="1:32" x14ac:dyDescent="0.25">
      <c r="G6" s="369" t="s">
        <v>335</v>
      </c>
      <c r="H6" s="366">
        <v>756</v>
      </c>
      <c r="I6" s="274"/>
      <c r="J6" s="366">
        <v>191.63</v>
      </c>
      <c r="K6" s="274"/>
      <c r="L6" s="366">
        <v>1166.3800000000001</v>
      </c>
      <c r="M6" s="274"/>
      <c r="N6" s="366">
        <v>346.5</v>
      </c>
      <c r="O6" s="274"/>
      <c r="P6" s="366">
        <v>257.25</v>
      </c>
      <c r="Q6" s="274"/>
      <c r="R6" s="366">
        <v>0</v>
      </c>
      <c r="S6" s="274"/>
      <c r="T6" s="366">
        <v>1697.5</v>
      </c>
      <c r="U6" s="274"/>
      <c r="V6" s="366">
        <v>257.75</v>
      </c>
      <c r="W6" s="274"/>
      <c r="X6" s="366">
        <v>563.5</v>
      </c>
      <c r="Y6" s="274"/>
      <c r="Z6" s="366">
        <v>2673.13</v>
      </c>
      <c r="AA6" s="274"/>
      <c r="AB6" s="366">
        <v>1995</v>
      </c>
      <c r="AC6" s="274"/>
      <c r="AD6" s="366">
        <v>35.29</v>
      </c>
      <c r="AE6" s="274"/>
      <c r="AF6" s="366">
        <f t="shared" ref="AF6:AF16" si="0">ROUND(SUM(H6:AD6),5)</f>
        <v>9939.93</v>
      </c>
    </row>
    <row r="7" spans="1:32" ht="15.75" thickBot="1" x14ac:dyDescent="0.3">
      <c r="G7" s="369" t="s">
        <v>446</v>
      </c>
      <c r="H7" s="275">
        <v>0</v>
      </c>
      <c r="I7" s="274"/>
      <c r="J7" s="275">
        <v>0</v>
      </c>
      <c r="K7" s="274"/>
      <c r="L7" s="275">
        <v>0</v>
      </c>
      <c r="M7" s="274"/>
      <c r="N7" s="275">
        <v>0</v>
      </c>
      <c r="O7" s="274"/>
      <c r="P7" s="275">
        <v>0</v>
      </c>
      <c r="Q7" s="274"/>
      <c r="R7" s="275">
        <v>0</v>
      </c>
      <c r="S7" s="274"/>
      <c r="T7" s="275">
        <v>0</v>
      </c>
      <c r="U7" s="274"/>
      <c r="V7" s="275">
        <v>0</v>
      </c>
      <c r="W7" s="274"/>
      <c r="X7" s="275">
        <v>0</v>
      </c>
      <c r="Y7" s="274"/>
      <c r="Z7" s="275">
        <v>157.5</v>
      </c>
      <c r="AA7" s="274"/>
      <c r="AB7" s="275">
        <v>0</v>
      </c>
      <c r="AC7" s="274"/>
      <c r="AD7" s="275">
        <v>0</v>
      </c>
      <c r="AE7" s="274"/>
      <c r="AF7" s="275">
        <f t="shared" si="0"/>
        <v>157.5</v>
      </c>
    </row>
    <row r="8" spans="1:32" x14ac:dyDescent="0.25">
      <c r="F8" s="369" t="s">
        <v>336</v>
      </c>
      <c r="H8" s="366">
        <f>ROUND(SUM(H5:H7),5)</f>
        <v>756</v>
      </c>
      <c r="I8" s="274"/>
      <c r="J8" s="366">
        <f>ROUND(SUM(J5:J7),5)</f>
        <v>191.63</v>
      </c>
      <c r="K8" s="274"/>
      <c r="L8" s="366">
        <f>ROUND(SUM(L5:L7),5)</f>
        <v>1166.3800000000001</v>
      </c>
      <c r="M8" s="274"/>
      <c r="N8" s="366">
        <f>ROUND(SUM(N5:N7),5)</f>
        <v>346.5</v>
      </c>
      <c r="O8" s="274"/>
      <c r="P8" s="366">
        <f>ROUND(SUM(P5:P7),5)</f>
        <v>257.25</v>
      </c>
      <c r="Q8" s="274"/>
      <c r="R8" s="366">
        <f>ROUND(SUM(R5:R7),5)</f>
        <v>0</v>
      </c>
      <c r="S8" s="274"/>
      <c r="T8" s="366">
        <f>ROUND(SUM(T5:T7),5)</f>
        <v>1697.5</v>
      </c>
      <c r="U8" s="274"/>
      <c r="V8" s="366">
        <f>ROUND(SUM(V5:V7),5)</f>
        <v>257.75</v>
      </c>
      <c r="W8" s="274"/>
      <c r="X8" s="366">
        <f>ROUND(SUM(X5:X7),5)</f>
        <v>563.5</v>
      </c>
      <c r="Y8" s="274"/>
      <c r="Z8" s="366">
        <f>ROUND(SUM(Z5:Z7),5)</f>
        <v>2830.63</v>
      </c>
      <c r="AA8" s="274"/>
      <c r="AB8" s="366">
        <f>ROUND(SUM(AB5:AB7),5)</f>
        <v>1995</v>
      </c>
      <c r="AC8" s="274"/>
      <c r="AD8" s="366">
        <f>ROUND(SUM(AD5:AD7),5)</f>
        <v>35.29</v>
      </c>
      <c r="AE8" s="274"/>
      <c r="AF8" s="366">
        <f t="shared" si="0"/>
        <v>10097.43</v>
      </c>
    </row>
    <row r="9" spans="1:32" x14ac:dyDescent="0.25">
      <c r="F9" s="369" t="s">
        <v>337</v>
      </c>
      <c r="H9" s="366">
        <v>0</v>
      </c>
      <c r="I9" s="274"/>
      <c r="J9" s="366">
        <v>200</v>
      </c>
      <c r="K9" s="274"/>
      <c r="L9" s="366">
        <v>500</v>
      </c>
      <c r="M9" s="274"/>
      <c r="N9" s="366">
        <v>0</v>
      </c>
      <c r="O9" s="274"/>
      <c r="P9" s="366">
        <v>8100</v>
      </c>
      <c r="Q9" s="274"/>
      <c r="R9" s="366">
        <v>8100</v>
      </c>
      <c r="S9" s="274"/>
      <c r="T9" s="366">
        <v>5750</v>
      </c>
      <c r="U9" s="274"/>
      <c r="V9" s="366">
        <v>500</v>
      </c>
      <c r="W9" s="274"/>
      <c r="X9" s="366">
        <v>400</v>
      </c>
      <c r="Y9" s="274"/>
      <c r="Z9" s="366">
        <v>1000</v>
      </c>
      <c r="AA9" s="274"/>
      <c r="AB9" s="366">
        <v>400</v>
      </c>
      <c r="AC9" s="274"/>
      <c r="AD9" s="366">
        <v>3250</v>
      </c>
      <c r="AE9" s="274"/>
      <c r="AF9" s="366">
        <f t="shared" si="0"/>
        <v>28200</v>
      </c>
    </row>
    <row r="10" spans="1:32" x14ac:dyDescent="0.25">
      <c r="F10" s="369" t="s">
        <v>338</v>
      </c>
      <c r="H10" s="366">
        <v>0</v>
      </c>
      <c r="I10" s="274"/>
      <c r="J10" s="366">
        <v>0</v>
      </c>
      <c r="K10" s="274"/>
      <c r="L10" s="366">
        <v>0</v>
      </c>
      <c r="M10" s="274"/>
      <c r="N10" s="366">
        <v>0</v>
      </c>
      <c r="O10" s="274"/>
      <c r="P10" s="366">
        <v>0</v>
      </c>
      <c r="Q10" s="274"/>
      <c r="R10" s="366">
        <v>200</v>
      </c>
      <c r="S10" s="274"/>
      <c r="T10" s="366">
        <v>0</v>
      </c>
      <c r="U10" s="274"/>
      <c r="V10" s="366">
        <v>0</v>
      </c>
      <c r="W10" s="274"/>
      <c r="X10" s="366">
        <v>0</v>
      </c>
      <c r="Y10" s="274"/>
      <c r="Z10" s="366">
        <v>0</v>
      </c>
      <c r="AA10" s="274"/>
      <c r="AB10" s="366">
        <v>0</v>
      </c>
      <c r="AC10" s="274"/>
      <c r="AD10" s="366">
        <v>0</v>
      </c>
      <c r="AE10" s="274"/>
      <c r="AF10" s="366">
        <f t="shared" si="0"/>
        <v>200</v>
      </c>
    </row>
    <row r="11" spans="1:32" x14ac:dyDescent="0.25">
      <c r="F11" s="369" t="s">
        <v>339</v>
      </c>
      <c r="H11" s="366">
        <v>1809.32</v>
      </c>
      <c r="I11" s="274"/>
      <c r="J11" s="366">
        <v>9599.51</v>
      </c>
      <c r="K11" s="274"/>
      <c r="L11" s="366">
        <v>48775.4</v>
      </c>
      <c r="M11" s="274"/>
      <c r="N11" s="366">
        <v>29040.880000000001</v>
      </c>
      <c r="O11" s="274"/>
      <c r="P11" s="366">
        <v>3653.25</v>
      </c>
      <c r="Q11" s="274"/>
      <c r="R11" s="366">
        <v>6538.96</v>
      </c>
      <c r="S11" s="274"/>
      <c r="T11" s="366">
        <v>23478.880000000001</v>
      </c>
      <c r="U11" s="274"/>
      <c r="V11" s="366">
        <v>18956.990000000002</v>
      </c>
      <c r="W11" s="274"/>
      <c r="X11" s="366">
        <v>11538.32</v>
      </c>
      <c r="Y11" s="274"/>
      <c r="Z11" s="366">
        <v>10523.75</v>
      </c>
      <c r="AA11" s="274"/>
      <c r="AB11" s="366">
        <v>4253.7299999999996</v>
      </c>
      <c r="AC11" s="274"/>
      <c r="AD11" s="366">
        <v>26876.400000000001</v>
      </c>
      <c r="AE11" s="274"/>
      <c r="AF11" s="366">
        <f t="shared" si="0"/>
        <v>195045.39</v>
      </c>
    </row>
    <row r="12" spans="1:32" x14ac:dyDescent="0.25">
      <c r="F12" s="369" t="s">
        <v>340</v>
      </c>
      <c r="H12" s="366">
        <v>0</v>
      </c>
      <c r="I12" s="274"/>
      <c r="J12" s="366">
        <v>2443.35</v>
      </c>
      <c r="K12" s="274"/>
      <c r="L12" s="366">
        <v>1149.73</v>
      </c>
      <c r="M12" s="274"/>
      <c r="N12" s="366">
        <v>227.83</v>
      </c>
      <c r="O12" s="274"/>
      <c r="P12" s="366">
        <v>11421</v>
      </c>
      <c r="Q12" s="274"/>
      <c r="R12" s="366">
        <v>281</v>
      </c>
      <c r="S12" s="274"/>
      <c r="T12" s="366">
        <v>6160.79</v>
      </c>
      <c r="U12" s="274"/>
      <c r="V12" s="366">
        <v>546</v>
      </c>
      <c r="W12" s="274"/>
      <c r="X12" s="366">
        <v>136</v>
      </c>
      <c r="Y12" s="274"/>
      <c r="Z12" s="366">
        <v>46</v>
      </c>
      <c r="AA12" s="274"/>
      <c r="AB12" s="366">
        <v>2226</v>
      </c>
      <c r="AC12" s="274"/>
      <c r="AD12" s="366">
        <v>96</v>
      </c>
      <c r="AE12" s="274"/>
      <c r="AF12" s="366">
        <f t="shared" si="0"/>
        <v>24733.7</v>
      </c>
    </row>
    <row r="13" spans="1:32" x14ac:dyDescent="0.25">
      <c r="F13" s="369" t="s">
        <v>173</v>
      </c>
      <c r="H13" s="366">
        <v>425</v>
      </c>
      <c r="I13" s="274"/>
      <c r="J13" s="366">
        <v>0</v>
      </c>
      <c r="K13" s="274"/>
      <c r="L13" s="366">
        <v>0</v>
      </c>
      <c r="M13" s="274"/>
      <c r="N13" s="366">
        <v>210.13</v>
      </c>
      <c r="O13" s="274"/>
      <c r="P13" s="366">
        <v>0</v>
      </c>
      <c r="Q13" s="274"/>
      <c r="R13" s="366">
        <v>0</v>
      </c>
      <c r="S13" s="274"/>
      <c r="T13" s="366">
        <v>0</v>
      </c>
      <c r="U13" s="274"/>
      <c r="V13" s="366">
        <v>0</v>
      </c>
      <c r="W13" s="274"/>
      <c r="X13" s="366">
        <v>0</v>
      </c>
      <c r="Y13" s="274"/>
      <c r="Z13" s="366">
        <v>0</v>
      </c>
      <c r="AA13" s="274"/>
      <c r="AB13" s="366">
        <v>0</v>
      </c>
      <c r="AC13" s="274"/>
      <c r="AD13" s="366">
        <v>0</v>
      </c>
      <c r="AE13" s="274"/>
      <c r="AF13" s="366">
        <f t="shared" si="0"/>
        <v>635.13</v>
      </c>
    </row>
    <row r="14" spans="1:32" x14ac:dyDescent="0.25">
      <c r="F14" s="369" t="s">
        <v>174</v>
      </c>
      <c r="H14" s="366">
        <v>0</v>
      </c>
      <c r="I14" s="274"/>
      <c r="J14" s="366">
        <v>0</v>
      </c>
      <c r="K14" s="274"/>
      <c r="L14" s="366">
        <v>0</v>
      </c>
      <c r="M14" s="274"/>
      <c r="N14" s="366">
        <v>0</v>
      </c>
      <c r="O14" s="274"/>
      <c r="P14" s="366">
        <v>100</v>
      </c>
      <c r="Q14" s="274"/>
      <c r="R14" s="366">
        <v>1350</v>
      </c>
      <c r="S14" s="274"/>
      <c r="T14" s="366">
        <v>0</v>
      </c>
      <c r="U14" s="274"/>
      <c r="V14" s="366">
        <v>0</v>
      </c>
      <c r="W14" s="274"/>
      <c r="X14" s="366">
        <v>0</v>
      </c>
      <c r="Y14" s="274"/>
      <c r="Z14" s="366">
        <v>0</v>
      </c>
      <c r="AA14" s="274"/>
      <c r="AB14" s="366">
        <v>0</v>
      </c>
      <c r="AC14" s="274"/>
      <c r="AD14" s="366">
        <v>0</v>
      </c>
      <c r="AE14" s="274"/>
      <c r="AF14" s="366">
        <f t="shared" si="0"/>
        <v>1450</v>
      </c>
    </row>
    <row r="15" spans="1:32" ht="15.75" thickBot="1" x14ac:dyDescent="0.3">
      <c r="F15" s="369" t="s">
        <v>175</v>
      </c>
      <c r="H15" s="275">
        <v>3000</v>
      </c>
      <c r="I15" s="274"/>
      <c r="J15" s="275">
        <v>0</v>
      </c>
      <c r="K15" s="274"/>
      <c r="L15" s="275">
        <v>0</v>
      </c>
      <c r="M15" s="274"/>
      <c r="N15" s="275">
        <v>75000</v>
      </c>
      <c r="O15" s="274"/>
      <c r="P15" s="275">
        <v>0</v>
      </c>
      <c r="Q15" s="274"/>
      <c r="R15" s="275">
        <v>0</v>
      </c>
      <c r="S15" s="274"/>
      <c r="T15" s="275">
        <v>11430</v>
      </c>
      <c r="U15" s="274"/>
      <c r="V15" s="275">
        <v>0</v>
      </c>
      <c r="W15" s="274"/>
      <c r="X15" s="275">
        <v>14000</v>
      </c>
      <c r="Y15" s="274"/>
      <c r="Z15" s="275">
        <v>0</v>
      </c>
      <c r="AA15" s="274"/>
      <c r="AB15" s="275">
        <v>84750</v>
      </c>
      <c r="AC15" s="274"/>
      <c r="AD15" s="275">
        <v>0</v>
      </c>
      <c r="AE15" s="274"/>
      <c r="AF15" s="275">
        <f t="shared" si="0"/>
        <v>188180</v>
      </c>
    </row>
    <row r="16" spans="1:32" x14ac:dyDescent="0.25">
      <c r="E16" s="369" t="s">
        <v>176</v>
      </c>
      <c r="H16" s="366">
        <f>ROUND(H4+SUM(H8:H15),5)</f>
        <v>5990.32</v>
      </c>
      <c r="I16" s="274"/>
      <c r="J16" s="366">
        <f>ROUND(J4+SUM(J8:J15),5)</f>
        <v>12434.49</v>
      </c>
      <c r="K16" s="274"/>
      <c r="L16" s="366">
        <f>ROUND(L4+SUM(L8:L15),5)</f>
        <v>51591.51</v>
      </c>
      <c r="M16" s="274"/>
      <c r="N16" s="366">
        <f>ROUND(N4+SUM(N8:N15),5)</f>
        <v>104825.34</v>
      </c>
      <c r="O16" s="274"/>
      <c r="P16" s="366">
        <f>ROUND(P4+SUM(P8:P15),5)</f>
        <v>23531.5</v>
      </c>
      <c r="Q16" s="274"/>
      <c r="R16" s="366">
        <f>ROUND(R4+SUM(R8:R15),5)</f>
        <v>16469.96</v>
      </c>
      <c r="S16" s="274"/>
      <c r="T16" s="366">
        <f>ROUND(T4+SUM(T8:T15),5)</f>
        <v>48517.17</v>
      </c>
      <c r="U16" s="274"/>
      <c r="V16" s="366">
        <f>ROUND(V4+SUM(V8:V15),5)</f>
        <v>20260.740000000002</v>
      </c>
      <c r="W16" s="274"/>
      <c r="X16" s="366">
        <f>ROUND(X4+SUM(X8:X15),5)</f>
        <v>26637.82</v>
      </c>
      <c r="Y16" s="274"/>
      <c r="Z16" s="366">
        <f>ROUND(Z4+SUM(Z8:Z15),5)</f>
        <v>14400.38</v>
      </c>
      <c r="AA16" s="274"/>
      <c r="AB16" s="366">
        <f>ROUND(AB4+SUM(AB8:AB15),5)</f>
        <v>93624.73</v>
      </c>
      <c r="AC16" s="274"/>
      <c r="AD16" s="366">
        <f>ROUND(AD4+SUM(AD8:AD15),5)</f>
        <v>30257.69</v>
      </c>
      <c r="AE16" s="274"/>
      <c r="AF16" s="366">
        <f t="shared" si="0"/>
        <v>448541.65</v>
      </c>
    </row>
    <row r="17" spans="3:32" x14ac:dyDescent="0.25">
      <c r="E17" s="369" t="s">
        <v>341</v>
      </c>
      <c r="H17" s="366"/>
      <c r="I17" s="274"/>
      <c r="J17" s="366"/>
      <c r="K17" s="274"/>
      <c r="L17" s="366"/>
      <c r="M17" s="274"/>
      <c r="N17" s="366"/>
      <c r="O17" s="274"/>
      <c r="P17" s="366"/>
      <c r="Q17" s="274"/>
      <c r="R17" s="366"/>
      <c r="S17" s="274"/>
      <c r="T17" s="366"/>
      <c r="U17" s="274"/>
      <c r="V17" s="366"/>
      <c r="W17" s="274"/>
      <c r="X17" s="366"/>
      <c r="Y17" s="274"/>
      <c r="Z17" s="366"/>
      <c r="AA17" s="274"/>
      <c r="AB17" s="366"/>
      <c r="AC17" s="274"/>
      <c r="AD17" s="366"/>
      <c r="AE17" s="274"/>
      <c r="AF17" s="366"/>
    </row>
    <row r="18" spans="3:32" x14ac:dyDescent="0.25">
      <c r="F18" s="369" t="s">
        <v>342</v>
      </c>
      <c r="H18" s="366">
        <v>200.95</v>
      </c>
      <c r="I18" s="274"/>
      <c r="J18" s="366">
        <v>429.18</v>
      </c>
      <c r="K18" s="274"/>
      <c r="L18" s="366">
        <v>179.7</v>
      </c>
      <c r="M18" s="274"/>
      <c r="N18" s="366">
        <v>120</v>
      </c>
      <c r="O18" s="274"/>
      <c r="P18" s="366">
        <v>0</v>
      </c>
      <c r="Q18" s="274"/>
      <c r="R18" s="366">
        <v>0</v>
      </c>
      <c r="S18" s="274"/>
      <c r="T18" s="366">
        <v>0</v>
      </c>
      <c r="U18" s="274"/>
      <c r="V18" s="366">
        <v>0</v>
      </c>
      <c r="W18" s="274"/>
      <c r="X18" s="366">
        <v>0</v>
      </c>
      <c r="Y18" s="274"/>
      <c r="Z18" s="366">
        <v>0</v>
      </c>
      <c r="AA18" s="274"/>
      <c r="AB18" s="366">
        <v>16842</v>
      </c>
      <c r="AC18" s="274"/>
      <c r="AD18" s="366">
        <v>350</v>
      </c>
      <c r="AE18" s="274"/>
      <c r="AF18" s="366">
        <f t="shared" ref="AF18:AF26" si="1">ROUND(SUM(H18:AD18),5)</f>
        <v>18121.830000000002</v>
      </c>
    </row>
    <row r="19" spans="3:32" x14ac:dyDescent="0.25">
      <c r="F19" s="369" t="s">
        <v>178</v>
      </c>
      <c r="H19" s="366">
        <v>377.05</v>
      </c>
      <c r="I19" s="274"/>
      <c r="J19" s="366">
        <v>420</v>
      </c>
      <c r="K19" s="274"/>
      <c r="L19" s="366">
        <v>-382.62</v>
      </c>
      <c r="M19" s="274"/>
      <c r="N19" s="366">
        <v>332.77</v>
      </c>
      <c r="O19" s="274"/>
      <c r="P19" s="366">
        <v>760</v>
      </c>
      <c r="Q19" s="274"/>
      <c r="R19" s="366">
        <v>0</v>
      </c>
      <c r="S19" s="274"/>
      <c r="T19" s="366">
        <v>0</v>
      </c>
      <c r="U19" s="274"/>
      <c r="V19" s="366">
        <v>0</v>
      </c>
      <c r="W19" s="274"/>
      <c r="X19" s="366">
        <v>-53.47</v>
      </c>
      <c r="Y19" s="274"/>
      <c r="Z19" s="366">
        <v>0</v>
      </c>
      <c r="AA19" s="274"/>
      <c r="AB19" s="366">
        <v>480</v>
      </c>
      <c r="AC19" s="274"/>
      <c r="AD19" s="366">
        <v>2269.81</v>
      </c>
      <c r="AE19" s="274"/>
      <c r="AF19" s="366">
        <f t="shared" si="1"/>
        <v>4203.54</v>
      </c>
    </row>
    <row r="20" spans="3:32" x14ac:dyDescent="0.25">
      <c r="F20" s="369" t="s">
        <v>179</v>
      </c>
      <c r="H20" s="366">
        <v>24.5</v>
      </c>
      <c r="I20" s="274"/>
      <c r="J20" s="366">
        <v>64</v>
      </c>
      <c r="K20" s="274"/>
      <c r="L20" s="366">
        <v>-124.37</v>
      </c>
      <c r="M20" s="274"/>
      <c r="N20" s="366">
        <v>0</v>
      </c>
      <c r="O20" s="274"/>
      <c r="P20" s="366">
        <v>0</v>
      </c>
      <c r="Q20" s="274"/>
      <c r="R20" s="366">
        <v>-62.5</v>
      </c>
      <c r="S20" s="274"/>
      <c r="T20" s="366">
        <v>0</v>
      </c>
      <c r="U20" s="274"/>
      <c r="V20" s="366">
        <v>0</v>
      </c>
      <c r="W20" s="274"/>
      <c r="X20" s="366">
        <v>-12</v>
      </c>
      <c r="Y20" s="274"/>
      <c r="Z20" s="366">
        <v>0</v>
      </c>
      <c r="AA20" s="274"/>
      <c r="AB20" s="366">
        <v>1734</v>
      </c>
      <c r="AC20" s="274"/>
      <c r="AD20" s="366">
        <v>944.54</v>
      </c>
      <c r="AE20" s="274"/>
      <c r="AF20" s="366">
        <f t="shared" si="1"/>
        <v>2568.17</v>
      </c>
    </row>
    <row r="21" spans="3:32" ht="15.75" thickBot="1" x14ac:dyDescent="0.3">
      <c r="F21" s="369" t="s">
        <v>343</v>
      </c>
      <c r="H21" s="275">
        <v>0</v>
      </c>
      <c r="I21" s="274"/>
      <c r="J21" s="275">
        <v>0</v>
      </c>
      <c r="K21" s="274"/>
      <c r="L21" s="275">
        <v>0</v>
      </c>
      <c r="M21" s="274"/>
      <c r="N21" s="275">
        <v>0</v>
      </c>
      <c r="O21" s="274"/>
      <c r="P21" s="275">
        <v>15000</v>
      </c>
      <c r="Q21" s="274"/>
      <c r="R21" s="275">
        <v>0</v>
      </c>
      <c r="S21" s="274"/>
      <c r="T21" s="275">
        <v>0</v>
      </c>
      <c r="U21" s="274"/>
      <c r="V21" s="275">
        <v>8800</v>
      </c>
      <c r="W21" s="274"/>
      <c r="X21" s="275">
        <v>0</v>
      </c>
      <c r="Y21" s="274"/>
      <c r="Z21" s="275">
        <v>5000</v>
      </c>
      <c r="AA21" s="274"/>
      <c r="AB21" s="275">
        <v>0</v>
      </c>
      <c r="AC21" s="274"/>
      <c r="AD21" s="275">
        <v>0</v>
      </c>
      <c r="AE21" s="274"/>
      <c r="AF21" s="275">
        <f t="shared" si="1"/>
        <v>28800</v>
      </c>
    </row>
    <row r="22" spans="3:32" x14ac:dyDescent="0.25">
      <c r="E22" s="369" t="s">
        <v>344</v>
      </c>
      <c r="H22" s="366">
        <f>ROUND(SUM(H17:H21),5)</f>
        <v>602.5</v>
      </c>
      <c r="I22" s="274"/>
      <c r="J22" s="366">
        <f>ROUND(SUM(J17:J21),5)</f>
        <v>913.18</v>
      </c>
      <c r="K22" s="274"/>
      <c r="L22" s="366">
        <f>ROUND(SUM(L17:L21),5)</f>
        <v>-327.29000000000002</v>
      </c>
      <c r="M22" s="274"/>
      <c r="N22" s="366">
        <f>ROUND(SUM(N17:N21),5)</f>
        <v>452.77</v>
      </c>
      <c r="O22" s="274"/>
      <c r="P22" s="366">
        <f>ROUND(SUM(P17:P21),5)</f>
        <v>15760</v>
      </c>
      <c r="Q22" s="274"/>
      <c r="R22" s="366">
        <f>ROUND(SUM(R17:R21),5)</f>
        <v>-62.5</v>
      </c>
      <c r="S22" s="274"/>
      <c r="T22" s="366">
        <f>ROUND(SUM(T17:T21),5)</f>
        <v>0</v>
      </c>
      <c r="U22" s="274"/>
      <c r="V22" s="366">
        <f>ROUND(SUM(V17:V21),5)</f>
        <v>8800</v>
      </c>
      <c r="W22" s="274"/>
      <c r="X22" s="366">
        <f>ROUND(SUM(X17:X21),5)</f>
        <v>-65.47</v>
      </c>
      <c r="Y22" s="274"/>
      <c r="Z22" s="366">
        <f>ROUND(SUM(Z17:Z21),5)</f>
        <v>5000</v>
      </c>
      <c r="AA22" s="274"/>
      <c r="AB22" s="366">
        <f>ROUND(SUM(AB17:AB21),5)</f>
        <v>19056</v>
      </c>
      <c r="AC22" s="274"/>
      <c r="AD22" s="366">
        <f>ROUND(SUM(AD17:AD21),5)</f>
        <v>3564.35</v>
      </c>
      <c r="AE22" s="274"/>
      <c r="AF22" s="366">
        <f t="shared" si="1"/>
        <v>53693.54</v>
      </c>
    </row>
    <row r="23" spans="3:32" x14ac:dyDescent="0.25">
      <c r="E23" s="369" t="s">
        <v>345</v>
      </c>
      <c r="H23" s="366">
        <v>175</v>
      </c>
      <c r="I23" s="274"/>
      <c r="J23" s="366">
        <v>175</v>
      </c>
      <c r="K23" s="274"/>
      <c r="L23" s="366">
        <v>175</v>
      </c>
      <c r="M23" s="274"/>
      <c r="N23" s="366">
        <v>175</v>
      </c>
      <c r="O23" s="274"/>
      <c r="P23" s="366">
        <v>175</v>
      </c>
      <c r="Q23" s="274"/>
      <c r="R23" s="366">
        <v>175</v>
      </c>
      <c r="S23" s="274"/>
      <c r="T23" s="366">
        <v>175</v>
      </c>
      <c r="U23" s="274"/>
      <c r="V23" s="366">
        <v>175</v>
      </c>
      <c r="W23" s="274"/>
      <c r="X23" s="366">
        <v>175</v>
      </c>
      <c r="Y23" s="274"/>
      <c r="Z23" s="366">
        <v>175</v>
      </c>
      <c r="AA23" s="274"/>
      <c r="AB23" s="366">
        <v>175</v>
      </c>
      <c r="AC23" s="274"/>
      <c r="AD23" s="366">
        <v>175</v>
      </c>
      <c r="AE23" s="274"/>
      <c r="AF23" s="366">
        <f t="shared" si="1"/>
        <v>2100</v>
      </c>
    </row>
    <row r="24" spans="3:32" x14ac:dyDescent="0.25">
      <c r="E24" s="369" t="s">
        <v>136</v>
      </c>
      <c r="H24" s="366">
        <v>345</v>
      </c>
      <c r="I24" s="274"/>
      <c r="J24" s="366">
        <v>302.7</v>
      </c>
      <c r="K24" s="274"/>
      <c r="L24" s="366">
        <v>0.81</v>
      </c>
      <c r="M24" s="274"/>
      <c r="N24" s="366">
        <v>0.8</v>
      </c>
      <c r="O24" s="274"/>
      <c r="P24" s="366">
        <v>-816.96</v>
      </c>
      <c r="Q24" s="274"/>
      <c r="R24" s="366">
        <v>-446.3</v>
      </c>
      <c r="S24" s="274"/>
      <c r="T24" s="366">
        <v>0.87</v>
      </c>
      <c r="U24" s="274"/>
      <c r="V24" s="366">
        <v>-279.52999999999997</v>
      </c>
      <c r="W24" s="274"/>
      <c r="X24" s="366">
        <v>3686.13</v>
      </c>
      <c r="Y24" s="274"/>
      <c r="Z24" s="366">
        <v>242.76</v>
      </c>
      <c r="AA24" s="274"/>
      <c r="AB24" s="366">
        <v>0.27</v>
      </c>
      <c r="AC24" s="274"/>
      <c r="AD24" s="366">
        <v>178.06</v>
      </c>
      <c r="AE24" s="274"/>
      <c r="AF24" s="366">
        <f t="shared" si="1"/>
        <v>3214.61</v>
      </c>
    </row>
    <row r="25" spans="3:32" ht="15.75" thickBot="1" x14ac:dyDescent="0.3">
      <c r="E25" s="369" t="s">
        <v>346</v>
      </c>
      <c r="H25" s="275">
        <v>172.06</v>
      </c>
      <c r="I25" s="274"/>
      <c r="J25" s="275">
        <v>0</v>
      </c>
      <c r="K25" s="274"/>
      <c r="L25" s="275">
        <v>0</v>
      </c>
      <c r="M25" s="274"/>
      <c r="N25" s="275">
        <v>0</v>
      </c>
      <c r="O25" s="274"/>
      <c r="P25" s="275">
        <v>0</v>
      </c>
      <c r="Q25" s="274"/>
      <c r="R25" s="275">
        <v>0</v>
      </c>
      <c r="S25" s="274"/>
      <c r="T25" s="275">
        <v>0</v>
      </c>
      <c r="U25" s="274"/>
      <c r="V25" s="275">
        <v>0</v>
      </c>
      <c r="W25" s="274"/>
      <c r="X25" s="275">
        <v>0</v>
      </c>
      <c r="Y25" s="274"/>
      <c r="Z25" s="275">
        <v>0</v>
      </c>
      <c r="AA25" s="274"/>
      <c r="AB25" s="275">
        <v>0</v>
      </c>
      <c r="AC25" s="274"/>
      <c r="AD25" s="275">
        <v>0</v>
      </c>
      <c r="AE25" s="274"/>
      <c r="AF25" s="275">
        <f t="shared" si="1"/>
        <v>172.06</v>
      </c>
    </row>
    <row r="26" spans="3:32" x14ac:dyDescent="0.25">
      <c r="D26" s="369" t="s">
        <v>9</v>
      </c>
      <c r="H26" s="366">
        <f>ROUND(H3+H16+SUM(H22:H25),5)</f>
        <v>7284.88</v>
      </c>
      <c r="I26" s="274"/>
      <c r="J26" s="366">
        <f>ROUND(J3+J16+SUM(J22:J25),5)</f>
        <v>13825.37</v>
      </c>
      <c r="K26" s="274"/>
      <c r="L26" s="366">
        <f>ROUND(L3+L16+SUM(L22:L25),5)</f>
        <v>51440.03</v>
      </c>
      <c r="M26" s="274"/>
      <c r="N26" s="366">
        <f>ROUND(N3+N16+SUM(N22:N25),5)</f>
        <v>105453.91</v>
      </c>
      <c r="O26" s="274"/>
      <c r="P26" s="366">
        <f>ROUND(P3+P16+SUM(P22:P25),5)</f>
        <v>38649.54</v>
      </c>
      <c r="Q26" s="274"/>
      <c r="R26" s="366">
        <f>ROUND(R3+R16+SUM(R22:R25),5)</f>
        <v>16136.16</v>
      </c>
      <c r="S26" s="274"/>
      <c r="T26" s="366">
        <f>ROUND(T3+T16+SUM(T22:T25),5)</f>
        <v>48693.04</v>
      </c>
      <c r="U26" s="274"/>
      <c r="V26" s="366">
        <f>ROUND(V3+V16+SUM(V22:V25),5)</f>
        <v>28956.21</v>
      </c>
      <c r="W26" s="274"/>
      <c r="X26" s="366">
        <f>ROUND(X3+X16+SUM(X22:X25),5)</f>
        <v>30433.48</v>
      </c>
      <c r="Y26" s="274"/>
      <c r="Z26" s="366">
        <f>ROUND(Z3+Z16+SUM(Z22:Z25),5)</f>
        <v>19818.14</v>
      </c>
      <c r="AA26" s="274"/>
      <c r="AB26" s="366">
        <f>ROUND(AB3+AB16+SUM(AB22:AB25),5)</f>
        <v>112856</v>
      </c>
      <c r="AC26" s="274"/>
      <c r="AD26" s="366">
        <f>ROUND(AD3+AD16+SUM(AD22:AD25),5)</f>
        <v>34175.1</v>
      </c>
      <c r="AE26" s="274"/>
      <c r="AF26" s="366">
        <f t="shared" si="1"/>
        <v>507721.86</v>
      </c>
    </row>
    <row r="27" spans="3:32" x14ac:dyDescent="0.25">
      <c r="D27" s="369" t="s">
        <v>137</v>
      </c>
      <c r="H27" s="366"/>
      <c r="I27" s="274"/>
      <c r="J27" s="366"/>
      <c r="K27" s="274"/>
      <c r="L27" s="366"/>
      <c r="M27" s="274"/>
      <c r="N27" s="366"/>
      <c r="O27" s="274"/>
      <c r="P27" s="366"/>
      <c r="Q27" s="274"/>
      <c r="R27" s="366"/>
      <c r="S27" s="274"/>
      <c r="T27" s="366"/>
      <c r="U27" s="274"/>
      <c r="V27" s="366"/>
      <c r="W27" s="274"/>
      <c r="X27" s="366"/>
      <c r="Y27" s="274"/>
      <c r="Z27" s="366"/>
      <c r="AA27" s="274"/>
      <c r="AB27" s="366"/>
      <c r="AC27" s="274"/>
      <c r="AD27" s="366"/>
      <c r="AE27" s="274"/>
      <c r="AF27" s="366"/>
    </row>
    <row r="28" spans="3:32" ht="15.75" thickBot="1" x14ac:dyDescent="0.3">
      <c r="E28" s="369" t="s">
        <v>138</v>
      </c>
      <c r="H28" s="365">
        <v>0</v>
      </c>
      <c r="I28" s="274"/>
      <c r="J28" s="365">
        <v>1207.0899999999999</v>
      </c>
      <c r="K28" s="274"/>
      <c r="L28" s="365">
        <v>1296.9000000000001</v>
      </c>
      <c r="M28" s="274"/>
      <c r="N28" s="365">
        <v>0</v>
      </c>
      <c r="O28" s="274"/>
      <c r="P28" s="365">
        <v>0</v>
      </c>
      <c r="Q28" s="274"/>
      <c r="R28" s="365">
        <v>0</v>
      </c>
      <c r="S28" s="274"/>
      <c r="T28" s="365">
        <v>0</v>
      </c>
      <c r="U28" s="274"/>
      <c r="V28" s="365">
        <v>0</v>
      </c>
      <c r="W28" s="274"/>
      <c r="X28" s="365">
        <v>0</v>
      </c>
      <c r="Y28" s="274"/>
      <c r="Z28" s="365">
        <v>0</v>
      </c>
      <c r="AA28" s="274"/>
      <c r="AB28" s="365">
        <v>0</v>
      </c>
      <c r="AC28" s="274"/>
      <c r="AD28" s="365">
        <v>0</v>
      </c>
      <c r="AE28" s="274"/>
      <c r="AF28" s="365">
        <f>ROUND(SUM(H28:AD28),5)</f>
        <v>2503.9899999999998</v>
      </c>
    </row>
    <row r="29" spans="3:32" ht="15.75" thickBot="1" x14ac:dyDescent="0.3">
      <c r="D29" s="369" t="s">
        <v>139</v>
      </c>
      <c r="H29" s="276">
        <f>ROUND(SUM(H27:H28),5)</f>
        <v>0</v>
      </c>
      <c r="I29" s="274"/>
      <c r="J29" s="276">
        <f>ROUND(SUM(J27:J28),5)</f>
        <v>1207.0899999999999</v>
      </c>
      <c r="K29" s="274"/>
      <c r="L29" s="276">
        <f>ROUND(SUM(L27:L28),5)</f>
        <v>1296.9000000000001</v>
      </c>
      <c r="M29" s="274"/>
      <c r="N29" s="276">
        <f>ROUND(SUM(N27:N28),5)</f>
        <v>0</v>
      </c>
      <c r="O29" s="274"/>
      <c r="P29" s="276">
        <f>ROUND(SUM(P27:P28),5)</f>
        <v>0</v>
      </c>
      <c r="Q29" s="274"/>
      <c r="R29" s="276">
        <f>ROUND(SUM(R27:R28),5)</f>
        <v>0</v>
      </c>
      <c r="S29" s="274"/>
      <c r="T29" s="276">
        <f>ROUND(SUM(T27:T28),5)</f>
        <v>0</v>
      </c>
      <c r="U29" s="274"/>
      <c r="V29" s="276">
        <f>ROUND(SUM(V27:V28),5)</f>
        <v>0</v>
      </c>
      <c r="W29" s="274"/>
      <c r="X29" s="276">
        <f>ROUND(SUM(X27:X28),5)</f>
        <v>0</v>
      </c>
      <c r="Y29" s="274"/>
      <c r="Z29" s="276">
        <f>ROUND(SUM(Z27:Z28),5)</f>
        <v>0</v>
      </c>
      <c r="AA29" s="274"/>
      <c r="AB29" s="276">
        <f>ROUND(SUM(AB27:AB28),5)</f>
        <v>0</v>
      </c>
      <c r="AC29" s="274"/>
      <c r="AD29" s="276">
        <f>ROUND(SUM(AD27:AD28),5)</f>
        <v>0</v>
      </c>
      <c r="AE29" s="274"/>
      <c r="AF29" s="276">
        <f>ROUND(SUM(H29:AD29),5)</f>
        <v>2503.9899999999998</v>
      </c>
    </row>
    <row r="30" spans="3:32" x14ac:dyDescent="0.25">
      <c r="C30" s="369" t="s">
        <v>140</v>
      </c>
      <c r="H30" s="366">
        <f>ROUND(H26-H29,5)</f>
        <v>7284.88</v>
      </c>
      <c r="I30" s="274"/>
      <c r="J30" s="366">
        <f>ROUND(J26-J29,5)</f>
        <v>12618.28</v>
      </c>
      <c r="K30" s="274"/>
      <c r="L30" s="366">
        <f>ROUND(L26-L29,5)</f>
        <v>50143.13</v>
      </c>
      <c r="M30" s="274"/>
      <c r="N30" s="366">
        <f>ROUND(N26-N29,5)</f>
        <v>105453.91</v>
      </c>
      <c r="O30" s="274"/>
      <c r="P30" s="366">
        <f>ROUND(P26-P29,5)</f>
        <v>38649.54</v>
      </c>
      <c r="Q30" s="274"/>
      <c r="R30" s="366">
        <f>ROUND(R26-R29,5)</f>
        <v>16136.16</v>
      </c>
      <c r="S30" s="274"/>
      <c r="T30" s="366">
        <f>ROUND(T26-T29,5)</f>
        <v>48693.04</v>
      </c>
      <c r="U30" s="274"/>
      <c r="V30" s="366">
        <f>ROUND(V26-V29,5)</f>
        <v>28956.21</v>
      </c>
      <c r="W30" s="274"/>
      <c r="X30" s="366">
        <f>ROUND(X26-X29,5)</f>
        <v>30433.48</v>
      </c>
      <c r="Y30" s="274"/>
      <c r="Z30" s="366">
        <f>ROUND(Z26-Z29,5)</f>
        <v>19818.14</v>
      </c>
      <c r="AA30" s="274"/>
      <c r="AB30" s="366">
        <f>ROUND(AB26-AB29,5)</f>
        <v>112856</v>
      </c>
      <c r="AC30" s="274"/>
      <c r="AD30" s="366">
        <f>ROUND(AD26-AD29,5)</f>
        <v>34175.1</v>
      </c>
      <c r="AE30" s="274"/>
      <c r="AF30" s="366">
        <f>ROUND(SUM(H30:AD30),5)</f>
        <v>505217.87</v>
      </c>
    </row>
    <row r="31" spans="3:32" x14ac:dyDescent="0.25">
      <c r="D31" s="369" t="s">
        <v>141</v>
      </c>
      <c r="H31" s="366"/>
      <c r="I31" s="274"/>
      <c r="J31" s="366"/>
      <c r="K31" s="274"/>
      <c r="L31" s="366"/>
      <c r="M31" s="274"/>
      <c r="N31" s="366"/>
      <c r="O31" s="274"/>
      <c r="P31" s="366"/>
      <c r="Q31" s="274"/>
      <c r="R31" s="366"/>
      <c r="S31" s="274"/>
      <c r="T31" s="366"/>
      <c r="U31" s="274"/>
      <c r="V31" s="366"/>
      <c r="W31" s="274"/>
      <c r="X31" s="366"/>
      <c r="Y31" s="274"/>
      <c r="Z31" s="366"/>
      <c r="AA31" s="274"/>
      <c r="AB31" s="366"/>
      <c r="AC31" s="274"/>
      <c r="AD31" s="366"/>
      <c r="AE31" s="274"/>
      <c r="AF31" s="366"/>
    </row>
    <row r="32" spans="3:32" x14ac:dyDescent="0.25">
      <c r="E32" s="369" t="s">
        <v>426</v>
      </c>
      <c r="H32" s="366">
        <v>0</v>
      </c>
      <c r="I32" s="274"/>
      <c r="J32" s="366">
        <v>0</v>
      </c>
      <c r="K32" s="274"/>
      <c r="L32" s="366">
        <v>0</v>
      </c>
      <c r="M32" s="274"/>
      <c r="N32" s="366">
        <v>0</v>
      </c>
      <c r="O32" s="274"/>
      <c r="P32" s="366">
        <v>0</v>
      </c>
      <c r="Q32" s="274"/>
      <c r="R32" s="366">
        <v>0</v>
      </c>
      <c r="S32" s="274"/>
      <c r="T32" s="366">
        <v>11.86</v>
      </c>
      <c r="U32" s="274"/>
      <c r="V32" s="366">
        <v>44.49</v>
      </c>
      <c r="W32" s="274"/>
      <c r="X32" s="366">
        <v>44.49</v>
      </c>
      <c r="Y32" s="274"/>
      <c r="Z32" s="366">
        <v>44.49</v>
      </c>
      <c r="AA32" s="274"/>
      <c r="AB32" s="366">
        <v>44.49</v>
      </c>
      <c r="AC32" s="274"/>
      <c r="AD32" s="366">
        <v>44.49</v>
      </c>
      <c r="AE32" s="274"/>
      <c r="AF32" s="366">
        <f t="shared" ref="AF32:AF49" si="2">ROUND(SUM(H32:AD32),5)</f>
        <v>234.31</v>
      </c>
    </row>
    <row r="33" spans="1:32" x14ac:dyDescent="0.25">
      <c r="E33" s="369" t="s">
        <v>142</v>
      </c>
      <c r="H33" s="366">
        <v>17980.95</v>
      </c>
      <c r="I33" s="274"/>
      <c r="J33" s="366">
        <v>21893.21</v>
      </c>
      <c r="K33" s="274"/>
      <c r="L33" s="366">
        <v>25825.95</v>
      </c>
      <c r="M33" s="274"/>
      <c r="N33" s="366">
        <v>23137.5</v>
      </c>
      <c r="O33" s="274"/>
      <c r="P33" s="366">
        <v>22394.78</v>
      </c>
      <c r="Q33" s="274"/>
      <c r="R33" s="366">
        <v>23450.85</v>
      </c>
      <c r="S33" s="274"/>
      <c r="T33" s="366">
        <v>31757.09</v>
      </c>
      <c r="U33" s="274"/>
      <c r="V33" s="366">
        <v>28712.42</v>
      </c>
      <c r="W33" s="274"/>
      <c r="X33" s="366">
        <v>30566.22</v>
      </c>
      <c r="Y33" s="274"/>
      <c r="Z33" s="366">
        <v>20403.72</v>
      </c>
      <c r="AA33" s="274"/>
      <c r="AB33" s="366">
        <v>25683.47</v>
      </c>
      <c r="AC33" s="274"/>
      <c r="AD33" s="366">
        <v>23843.74</v>
      </c>
      <c r="AE33" s="274"/>
      <c r="AF33" s="366">
        <f t="shared" si="2"/>
        <v>295649.90000000002</v>
      </c>
    </row>
    <row r="34" spans="1:32" x14ac:dyDescent="0.25">
      <c r="E34" s="369" t="s">
        <v>347</v>
      </c>
      <c r="H34" s="366">
        <v>1773.75</v>
      </c>
      <c r="I34" s="274"/>
      <c r="J34" s="366">
        <v>999.75</v>
      </c>
      <c r="K34" s="274"/>
      <c r="L34" s="366">
        <v>0</v>
      </c>
      <c r="M34" s="274"/>
      <c r="N34" s="366">
        <v>0</v>
      </c>
      <c r="O34" s="274"/>
      <c r="P34" s="366">
        <v>1010.5</v>
      </c>
      <c r="Q34" s="274"/>
      <c r="R34" s="366">
        <v>0</v>
      </c>
      <c r="S34" s="274"/>
      <c r="T34" s="366">
        <v>0</v>
      </c>
      <c r="U34" s="274"/>
      <c r="V34" s="366">
        <v>0</v>
      </c>
      <c r="W34" s="274"/>
      <c r="X34" s="366">
        <v>0</v>
      </c>
      <c r="Y34" s="274"/>
      <c r="Z34" s="366">
        <v>0</v>
      </c>
      <c r="AA34" s="274"/>
      <c r="AB34" s="366">
        <v>0</v>
      </c>
      <c r="AC34" s="274"/>
      <c r="AD34" s="366">
        <v>0</v>
      </c>
      <c r="AE34" s="274"/>
      <c r="AF34" s="366">
        <f t="shared" si="2"/>
        <v>3784</v>
      </c>
    </row>
    <row r="35" spans="1:32" x14ac:dyDescent="0.25">
      <c r="E35" s="369" t="s">
        <v>348</v>
      </c>
      <c r="H35" s="366">
        <v>107.5</v>
      </c>
      <c r="I35" s="274"/>
      <c r="J35" s="366">
        <v>105.74</v>
      </c>
      <c r="K35" s="274"/>
      <c r="L35" s="366">
        <v>240.33</v>
      </c>
      <c r="M35" s="274"/>
      <c r="N35" s="366">
        <v>301.95</v>
      </c>
      <c r="O35" s="274"/>
      <c r="P35" s="366">
        <v>96.88</v>
      </c>
      <c r="Q35" s="274"/>
      <c r="R35" s="366">
        <v>0</v>
      </c>
      <c r="S35" s="274"/>
      <c r="T35" s="366">
        <v>183.3</v>
      </c>
      <c r="U35" s="274"/>
      <c r="V35" s="366">
        <v>108.4</v>
      </c>
      <c r="W35" s="274"/>
      <c r="X35" s="366">
        <v>91.85</v>
      </c>
      <c r="Y35" s="274"/>
      <c r="Z35" s="366">
        <v>92.9</v>
      </c>
      <c r="AA35" s="274"/>
      <c r="AB35" s="366">
        <v>688.56</v>
      </c>
      <c r="AC35" s="274"/>
      <c r="AD35" s="366">
        <v>287.19</v>
      </c>
      <c r="AE35" s="274"/>
      <c r="AF35" s="366">
        <f t="shared" si="2"/>
        <v>2304.6</v>
      </c>
    </row>
    <row r="36" spans="1:32" x14ac:dyDescent="0.25">
      <c r="E36" s="369" t="s">
        <v>349</v>
      </c>
      <c r="H36" s="366">
        <v>0</v>
      </c>
      <c r="I36" s="274"/>
      <c r="J36" s="366">
        <v>186.34</v>
      </c>
      <c r="K36" s="274"/>
      <c r="L36" s="366">
        <v>0</v>
      </c>
      <c r="M36" s="274"/>
      <c r="N36" s="366">
        <v>0</v>
      </c>
      <c r="O36" s="274"/>
      <c r="P36" s="366">
        <v>0</v>
      </c>
      <c r="Q36" s="274"/>
      <c r="R36" s="366">
        <v>0</v>
      </c>
      <c r="S36" s="274"/>
      <c r="T36" s="366">
        <v>0</v>
      </c>
      <c r="U36" s="274"/>
      <c r="V36" s="366">
        <v>0</v>
      </c>
      <c r="W36" s="274"/>
      <c r="X36" s="366">
        <v>9206.57</v>
      </c>
      <c r="Y36" s="274"/>
      <c r="Z36" s="366">
        <v>0</v>
      </c>
      <c r="AA36" s="274"/>
      <c r="AB36" s="366">
        <v>0</v>
      </c>
      <c r="AC36" s="274"/>
      <c r="AD36" s="366">
        <v>0</v>
      </c>
      <c r="AE36" s="274"/>
      <c r="AF36" s="366">
        <f t="shared" si="2"/>
        <v>9392.91</v>
      </c>
    </row>
    <row r="37" spans="1:32" x14ac:dyDescent="0.25">
      <c r="E37" s="369" t="s">
        <v>146</v>
      </c>
      <c r="H37" s="366">
        <v>166.03</v>
      </c>
      <c r="I37" s="274"/>
      <c r="J37" s="366">
        <v>824.1</v>
      </c>
      <c r="K37" s="274"/>
      <c r="L37" s="366">
        <v>121.1</v>
      </c>
      <c r="M37" s="274"/>
      <c r="N37" s="366">
        <v>259.83999999999997</v>
      </c>
      <c r="O37" s="274"/>
      <c r="P37" s="366">
        <v>263.58999999999997</v>
      </c>
      <c r="Q37" s="274"/>
      <c r="R37" s="366">
        <v>20.34</v>
      </c>
      <c r="S37" s="274"/>
      <c r="T37" s="366">
        <v>0</v>
      </c>
      <c r="U37" s="274"/>
      <c r="V37" s="366">
        <v>0</v>
      </c>
      <c r="W37" s="274"/>
      <c r="X37" s="366">
        <v>0</v>
      </c>
      <c r="Y37" s="274"/>
      <c r="Z37" s="366">
        <v>0</v>
      </c>
      <c r="AA37" s="274"/>
      <c r="AB37" s="366">
        <v>0</v>
      </c>
      <c r="AC37" s="274"/>
      <c r="AD37" s="366">
        <v>0</v>
      </c>
      <c r="AE37" s="274"/>
      <c r="AF37" s="366">
        <f t="shared" si="2"/>
        <v>1655</v>
      </c>
    </row>
    <row r="38" spans="1:32" x14ac:dyDescent="0.25">
      <c r="E38" s="369" t="s">
        <v>147</v>
      </c>
      <c r="H38" s="366">
        <v>329.79</v>
      </c>
      <c r="I38" s="274"/>
      <c r="J38" s="366">
        <v>330.98</v>
      </c>
      <c r="K38" s="274"/>
      <c r="L38" s="366">
        <v>405.51</v>
      </c>
      <c r="M38" s="274"/>
      <c r="N38" s="366">
        <v>503.34</v>
      </c>
      <c r="O38" s="274"/>
      <c r="P38" s="366">
        <v>92.84</v>
      </c>
      <c r="Q38" s="274"/>
      <c r="R38" s="366">
        <v>496.83</v>
      </c>
      <c r="S38" s="274"/>
      <c r="T38" s="366">
        <v>372.6</v>
      </c>
      <c r="U38" s="274"/>
      <c r="V38" s="366">
        <v>397.74</v>
      </c>
      <c r="W38" s="274"/>
      <c r="X38" s="366">
        <v>397.24</v>
      </c>
      <c r="Y38" s="274"/>
      <c r="Z38" s="366">
        <v>276.37</v>
      </c>
      <c r="AA38" s="274"/>
      <c r="AB38" s="366">
        <v>287.92</v>
      </c>
      <c r="AC38" s="274"/>
      <c r="AD38" s="366">
        <v>307.33999999999997</v>
      </c>
      <c r="AE38" s="274"/>
      <c r="AF38" s="366">
        <f t="shared" si="2"/>
        <v>4198.5</v>
      </c>
    </row>
    <row r="39" spans="1:32" x14ac:dyDescent="0.25">
      <c r="E39" s="369" t="s">
        <v>148</v>
      </c>
      <c r="H39" s="366">
        <v>96.05</v>
      </c>
      <c r="I39" s="274"/>
      <c r="J39" s="366">
        <v>208.25</v>
      </c>
      <c r="K39" s="274"/>
      <c r="L39" s="366">
        <v>2542.1999999999998</v>
      </c>
      <c r="M39" s="274"/>
      <c r="N39" s="366">
        <v>703.6</v>
      </c>
      <c r="O39" s="274"/>
      <c r="P39" s="366">
        <v>1887.29</v>
      </c>
      <c r="Q39" s="274"/>
      <c r="R39" s="366">
        <v>7.48</v>
      </c>
      <c r="S39" s="274"/>
      <c r="T39" s="366">
        <v>9.7799999999999994</v>
      </c>
      <c r="U39" s="274"/>
      <c r="V39" s="366">
        <v>0</v>
      </c>
      <c r="W39" s="274"/>
      <c r="X39" s="366">
        <v>29.22</v>
      </c>
      <c r="Y39" s="274"/>
      <c r="Z39" s="366">
        <v>84.96</v>
      </c>
      <c r="AA39" s="274"/>
      <c r="AB39" s="366">
        <v>0</v>
      </c>
      <c r="AC39" s="274"/>
      <c r="AD39" s="366">
        <v>371.26</v>
      </c>
      <c r="AE39" s="274"/>
      <c r="AF39" s="366">
        <f t="shared" si="2"/>
        <v>5940.09</v>
      </c>
    </row>
    <row r="40" spans="1:32" x14ac:dyDescent="0.25">
      <c r="E40" s="369" t="s">
        <v>149</v>
      </c>
      <c r="H40" s="366">
        <v>1210.8699999999999</v>
      </c>
      <c r="I40" s="274"/>
      <c r="J40" s="366">
        <v>1210.8699999999999</v>
      </c>
      <c r="K40" s="274"/>
      <c r="L40" s="366">
        <v>1210.8699999999999</v>
      </c>
      <c r="M40" s="274"/>
      <c r="N40" s="366">
        <v>1081.77</v>
      </c>
      <c r="O40" s="274"/>
      <c r="P40" s="366">
        <v>1153.8900000000001</v>
      </c>
      <c r="Q40" s="274"/>
      <c r="R40" s="366">
        <v>1153.8900000000001</v>
      </c>
      <c r="S40" s="274"/>
      <c r="T40" s="366">
        <v>1479.09</v>
      </c>
      <c r="U40" s="274"/>
      <c r="V40" s="366">
        <v>1515.92</v>
      </c>
      <c r="W40" s="274"/>
      <c r="X40" s="366">
        <v>1042.19</v>
      </c>
      <c r="Y40" s="274"/>
      <c r="Z40" s="366">
        <v>1178.8399999999999</v>
      </c>
      <c r="AA40" s="274"/>
      <c r="AB40" s="366">
        <v>1031.48</v>
      </c>
      <c r="AC40" s="274"/>
      <c r="AD40" s="366">
        <v>1105.1600000000001</v>
      </c>
      <c r="AE40" s="274"/>
      <c r="AF40" s="366">
        <f t="shared" si="2"/>
        <v>14374.84</v>
      </c>
    </row>
    <row r="41" spans="1:32" x14ac:dyDescent="0.25">
      <c r="E41" s="369" t="s">
        <v>150</v>
      </c>
      <c r="H41" s="366">
        <v>258.3</v>
      </c>
      <c r="I41" s="274"/>
      <c r="J41" s="366">
        <v>258.3</v>
      </c>
      <c r="K41" s="274"/>
      <c r="L41" s="366">
        <v>436.6</v>
      </c>
      <c r="M41" s="274"/>
      <c r="N41" s="366">
        <v>189.04</v>
      </c>
      <c r="O41" s="274"/>
      <c r="P41" s="366">
        <v>189.05</v>
      </c>
      <c r="Q41" s="274"/>
      <c r="R41" s="366">
        <v>189.05</v>
      </c>
      <c r="S41" s="274"/>
      <c r="T41" s="366">
        <v>247.12</v>
      </c>
      <c r="U41" s="274"/>
      <c r="V41" s="366">
        <v>260.35000000000002</v>
      </c>
      <c r="W41" s="274"/>
      <c r="X41" s="366">
        <v>260.35000000000002</v>
      </c>
      <c r="Y41" s="274"/>
      <c r="Z41" s="366">
        <v>193.1</v>
      </c>
      <c r="AA41" s="274"/>
      <c r="AB41" s="366">
        <v>193.1</v>
      </c>
      <c r="AC41" s="274"/>
      <c r="AD41" s="366">
        <v>193.1</v>
      </c>
      <c r="AE41" s="274"/>
      <c r="AF41" s="366">
        <f t="shared" si="2"/>
        <v>2867.46</v>
      </c>
    </row>
    <row r="42" spans="1:32" x14ac:dyDescent="0.25">
      <c r="E42" s="369" t="s">
        <v>350</v>
      </c>
      <c r="H42" s="366">
        <v>97.88</v>
      </c>
      <c r="I42" s="274"/>
      <c r="J42" s="366">
        <v>13.61</v>
      </c>
      <c r="K42" s="274"/>
      <c r="L42" s="366">
        <v>1430.2</v>
      </c>
      <c r="M42" s="274"/>
      <c r="N42" s="366">
        <v>1116.5</v>
      </c>
      <c r="O42" s="274"/>
      <c r="P42" s="366">
        <v>0</v>
      </c>
      <c r="Q42" s="274"/>
      <c r="R42" s="366">
        <v>0</v>
      </c>
      <c r="S42" s="274"/>
      <c r="T42" s="366">
        <v>1454.91</v>
      </c>
      <c r="U42" s="274"/>
      <c r="V42" s="366">
        <v>44.75</v>
      </c>
      <c r="W42" s="274"/>
      <c r="X42" s="366">
        <v>44.75</v>
      </c>
      <c r="Y42" s="274"/>
      <c r="Z42" s="366">
        <v>301.20999999999998</v>
      </c>
      <c r="AA42" s="274"/>
      <c r="AB42" s="366">
        <v>1398.14</v>
      </c>
      <c r="AC42" s="274"/>
      <c r="AD42" s="366">
        <v>1113.45</v>
      </c>
      <c r="AE42" s="274"/>
      <c r="AF42" s="366">
        <f t="shared" si="2"/>
        <v>7015.4</v>
      </c>
    </row>
    <row r="43" spans="1:32" x14ac:dyDescent="0.25">
      <c r="E43" s="369" t="s">
        <v>351</v>
      </c>
      <c r="H43" s="366">
        <v>2426.2600000000002</v>
      </c>
      <c r="I43" s="274"/>
      <c r="J43" s="366">
        <v>797.97</v>
      </c>
      <c r="K43" s="274"/>
      <c r="L43" s="366">
        <v>302.38</v>
      </c>
      <c r="M43" s="274"/>
      <c r="N43" s="366">
        <v>1858.85</v>
      </c>
      <c r="O43" s="274"/>
      <c r="P43" s="366">
        <v>2070.44</v>
      </c>
      <c r="Q43" s="274"/>
      <c r="R43" s="366">
        <v>-463.98</v>
      </c>
      <c r="S43" s="274"/>
      <c r="T43" s="366">
        <v>0</v>
      </c>
      <c r="U43" s="274"/>
      <c r="V43" s="366">
        <v>0</v>
      </c>
      <c r="W43" s="274"/>
      <c r="X43" s="366">
        <v>100.1</v>
      </c>
      <c r="Y43" s="274"/>
      <c r="Z43" s="366">
        <v>0</v>
      </c>
      <c r="AA43" s="274"/>
      <c r="AB43" s="366">
        <v>0</v>
      </c>
      <c r="AC43" s="274"/>
      <c r="AD43" s="366">
        <v>0</v>
      </c>
      <c r="AE43" s="274"/>
      <c r="AF43" s="366">
        <f t="shared" si="2"/>
        <v>7092.02</v>
      </c>
    </row>
    <row r="44" spans="1:32" x14ac:dyDescent="0.25">
      <c r="E44" s="369" t="s">
        <v>154</v>
      </c>
      <c r="H44" s="366">
        <v>711.58</v>
      </c>
      <c r="I44" s="274"/>
      <c r="J44" s="366">
        <v>711.58</v>
      </c>
      <c r="K44" s="274"/>
      <c r="L44" s="366">
        <v>711.58</v>
      </c>
      <c r="M44" s="274"/>
      <c r="N44" s="366">
        <v>0</v>
      </c>
      <c r="O44" s="274"/>
      <c r="P44" s="366">
        <v>1280.21</v>
      </c>
      <c r="Q44" s="274"/>
      <c r="R44" s="366">
        <v>701.94</v>
      </c>
      <c r="S44" s="274"/>
      <c r="T44" s="366">
        <v>701.94</v>
      </c>
      <c r="U44" s="274"/>
      <c r="V44" s="366">
        <v>701.94</v>
      </c>
      <c r="W44" s="274"/>
      <c r="X44" s="366">
        <v>535.79</v>
      </c>
      <c r="Y44" s="274"/>
      <c r="Z44" s="366">
        <v>701.94</v>
      </c>
      <c r="AA44" s="274"/>
      <c r="AB44" s="366">
        <v>701.94</v>
      </c>
      <c r="AC44" s="274"/>
      <c r="AD44" s="366">
        <v>701.96</v>
      </c>
      <c r="AE44" s="274"/>
      <c r="AF44" s="366">
        <f t="shared" si="2"/>
        <v>8162.4</v>
      </c>
    </row>
    <row r="45" spans="1:32" x14ac:dyDescent="0.25">
      <c r="E45" s="369" t="s">
        <v>156</v>
      </c>
      <c r="H45" s="366">
        <v>1742.03</v>
      </c>
      <c r="I45" s="274"/>
      <c r="J45" s="366">
        <v>821.17</v>
      </c>
      <c r="K45" s="274"/>
      <c r="L45" s="366">
        <v>2538.0500000000002</v>
      </c>
      <c r="M45" s="274"/>
      <c r="N45" s="366">
        <v>1304.82</v>
      </c>
      <c r="O45" s="274"/>
      <c r="P45" s="366">
        <v>1276.51</v>
      </c>
      <c r="Q45" s="274"/>
      <c r="R45" s="366">
        <v>-414.61</v>
      </c>
      <c r="S45" s="274"/>
      <c r="T45" s="366">
        <v>963.71</v>
      </c>
      <c r="U45" s="274"/>
      <c r="V45" s="366">
        <v>820.04</v>
      </c>
      <c r="W45" s="274"/>
      <c r="X45" s="366">
        <v>1307.82</v>
      </c>
      <c r="Y45" s="274"/>
      <c r="Z45" s="366">
        <v>824.16</v>
      </c>
      <c r="AA45" s="274"/>
      <c r="AB45" s="366">
        <v>768.37</v>
      </c>
      <c r="AC45" s="274"/>
      <c r="AD45" s="366">
        <v>753.05</v>
      </c>
      <c r="AE45" s="274"/>
      <c r="AF45" s="366">
        <f t="shared" si="2"/>
        <v>12705.12</v>
      </c>
    </row>
    <row r="46" spans="1:32" ht="15.75" thickBot="1" x14ac:dyDescent="0.3">
      <c r="E46" s="369" t="s">
        <v>157</v>
      </c>
      <c r="H46" s="365">
        <v>12118.58</v>
      </c>
      <c r="I46" s="274"/>
      <c r="J46" s="365">
        <v>7668.21</v>
      </c>
      <c r="K46" s="274"/>
      <c r="L46" s="365">
        <v>7097.34</v>
      </c>
      <c r="M46" s="274"/>
      <c r="N46" s="365">
        <v>11019.21</v>
      </c>
      <c r="O46" s="274"/>
      <c r="P46" s="365">
        <v>4497.5</v>
      </c>
      <c r="Q46" s="274"/>
      <c r="R46" s="365">
        <v>4742.8100000000004</v>
      </c>
      <c r="S46" s="274"/>
      <c r="T46" s="365">
        <v>2330.6999999999998</v>
      </c>
      <c r="U46" s="274"/>
      <c r="V46" s="365">
        <v>55</v>
      </c>
      <c r="W46" s="274"/>
      <c r="X46" s="365">
        <v>67.27</v>
      </c>
      <c r="Y46" s="274"/>
      <c r="Z46" s="365">
        <v>142.72999999999999</v>
      </c>
      <c r="AA46" s="274"/>
      <c r="AB46" s="365">
        <v>21939.5</v>
      </c>
      <c r="AC46" s="274"/>
      <c r="AD46" s="365">
        <v>25613.19</v>
      </c>
      <c r="AE46" s="274"/>
      <c r="AF46" s="365">
        <f t="shared" si="2"/>
        <v>97292.04</v>
      </c>
    </row>
    <row r="47" spans="1:32" ht="15.75" thickBot="1" x14ac:dyDescent="0.3">
      <c r="D47" s="369" t="s">
        <v>56</v>
      </c>
      <c r="H47" s="277">
        <f>ROUND(SUM(H31:H46),5)</f>
        <v>39019.57</v>
      </c>
      <c r="I47" s="274"/>
      <c r="J47" s="277">
        <f>ROUND(SUM(J31:J46),5)</f>
        <v>36030.080000000002</v>
      </c>
      <c r="K47" s="274"/>
      <c r="L47" s="277">
        <f>ROUND(SUM(L31:L46),5)</f>
        <v>42862.11</v>
      </c>
      <c r="M47" s="274"/>
      <c r="N47" s="277">
        <f>ROUND(SUM(N31:N46),5)</f>
        <v>41476.42</v>
      </c>
      <c r="O47" s="274"/>
      <c r="P47" s="277">
        <f>ROUND(SUM(P31:P46),5)</f>
        <v>36213.480000000003</v>
      </c>
      <c r="Q47" s="274"/>
      <c r="R47" s="277">
        <f>ROUND(SUM(R31:R46),5)</f>
        <v>29884.6</v>
      </c>
      <c r="S47" s="274"/>
      <c r="T47" s="277">
        <f>ROUND(SUM(T31:T46),5)</f>
        <v>39512.1</v>
      </c>
      <c r="U47" s="274"/>
      <c r="V47" s="277">
        <f>ROUND(SUM(V31:V46),5)</f>
        <v>32661.05</v>
      </c>
      <c r="W47" s="274"/>
      <c r="X47" s="277">
        <f>ROUND(SUM(X31:X46),5)</f>
        <v>43693.86</v>
      </c>
      <c r="Y47" s="274"/>
      <c r="Z47" s="277">
        <f>ROUND(SUM(Z31:Z46),5)</f>
        <v>24244.42</v>
      </c>
      <c r="AA47" s="274"/>
      <c r="AB47" s="277">
        <f>ROUND(SUM(AB31:AB46),5)</f>
        <v>52736.97</v>
      </c>
      <c r="AC47" s="274"/>
      <c r="AD47" s="277">
        <f>ROUND(SUM(AD31:AD46),5)</f>
        <v>54333.93</v>
      </c>
      <c r="AE47" s="274"/>
      <c r="AF47" s="277">
        <f t="shared" si="2"/>
        <v>472668.59</v>
      </c>
    </row>
    <row r="48" spans="1:32" s="279" customFormat="1" ht="12" thickBot="1" x14ac:dyDescent="0.25">
      <c r="A48" s="369"/>
      <c r="B48" s="369" t="s">
        <v>159</v>
      </c>
      <c r="C48" s="369"/>
      <c r="D48" s="369"/>
      <c r="E48" s="369"/>
      <c r="F48" s="369"/>
      <c r="G48" s="369"/>
      <c r="H48" s="277">
        <f>ROUND(H2+H30-H47,5)</f>
        <v>-31734.69</v>
      </c>
      <c r="I48" s="274"/>
      <c r="J48" s="277">
        <f>ROUND(J2+J30-J47,5)</f>
        <v>-23411.8</v>
      </c>
      <c r="K48" s="274"/>
      <c r="L48" s="277">
        <f>ROUND(L2+L30-L47,5)</f>
        <v>7281.02</v>
      </c>
      <c r="M48" s="274"/>
      <c r="N48" s="277">
        <f>ROUND(N2+N30-N47,5)</f>
        <v>63977.49</v>
      </c>
      <c r="O48" s="274"/>
      <c r="P48" s="277">
        <f>ROUND(P2+P30-P47,5)</f>
        <v>2436.06</v>
      </c>
      <c r="Q48" s="274"/>
      <c r="R48" s="277">
        <f>ROUND(R2+R30-R47,5)</f>
        <v>-13748.44</v>
      </c>
      <c r="S48" s="274"/>
      <c r="T48" s="277">
        <f>ROUND(T2+T30-T47,5)</f>
        <v>9180.94</v>
      </c>
      <c r="U48" s="274"/>
      <c r="V48" s="277">
        <f>ROUND(V2+V30-V47,5)</f>
        <v>-3704.84</v>
      </c>
      <c r="W48" s="274"/>
      <c r="X48" s="277">
        <f>ROUND(X2+X30-X47,5)</f>
        <v>-13260.38</v>
      </c>
      <c r="Y48" s="274"/>
      <c r="Z48" s="277">
        <f>ROUND(Z2+Z30-Z47,5)</f>
        <v>-4426.28</v>
      </c>
      <c r="AA48" s="274"/>
      <c r="AB48" s="277">
        <f>ROUND(AB2+AB30-AB47,5)</f>
        <v>60119.03</v>
      </c>
      <c r="AC48" s="274"/>
      <c r="AD48" s="277">
        <f>ROUND(AD2+AD30-AD47,5)</f>
        <v>-20158.830000000002</v>
      </c>
      <c r="AE48" s="274"/>
      <c r="AF48" s="277">
        <f t="shared" si="2"/>
        <v>32549.279999999999</v>
      </c>
    </row>
    <row r="49" spans="1:32" ht="15.75" thickBot="1" x14ac:dyDescent="0.3">
      <c r="A49" s="369" t="s">
        <v>160</v>
      </c>
      <c r="H49" s="278">
        <f>H48</f>
        <v>-31734.69</v>
      </c>
      <c r="I49" s="369"/>
      <c r="J49" s="278">
        <f>J48</f>
        <v>-23411.8</v>
      </c>
      <c r="K49" s="369"/>
      <c r="L49" s="278">
        <f>L48</f>
        <v>7281.02</v>
      </c>
      <c r="M49" s="369"/>
      <c r="N49" s="278">
        <f>N48</f>
        <v>63977.49</v>
      </c>
      <c r="O49" s="369"/>
      <c r="P49" s="278">
        <f>P48</f>
        <v>2436.06</v>
      </c>
      <c r="Q49" s="369"/>
      <c r="R49" s="278">
        <f>R48</f>
        <v>-13748.44</v>
      </c>
      <c r="S49" s="369"/>
      <c r="T49" s="278">
        <f>T48</f>
        <v>9180.94</v>
      </c>
      <c r="U49" s="369"/>
      <c r="V49" s="278">
        <f>V48</f>
        <v>-3704.84</v>
      </c>
      <c r="W49" s="369"/>
      <c r="X49" s="278">
        <f>X48</f>
        <v>-13260.38</v>
      </c>
      <c r="Y49" s="369"/>
      <c r="Z49" s="278">
        <f>Z48</f>
        <v>-4426.28</v>
      </c>
      <c r="AA49" s="369"/>
      <c r="AB49" s="278">
        <f>AB48</f>
        <v>60119.03</v>
      </c>
      <c r="AC49" s="369"/>
      <c r="AD49" s="278">
        <f>AD48</f>
        <v>-20158.830000000002</v>
      </c>
      <c r="AE49" s="369"/>
      <c r="AF49" s="278">
        <f t="shared" si="2"/>
        <v>32549.279999999999</v>
      </c>
    </row>
    <row r="50" spans="1:32" ht="15.75" thickTop="1" x14ac:dyDescent="0.25"/>
  </sheetData>
  <pageMargins left="0.2" right="0.2" top="1" bottom="0.75" header="0.1" footer="0.3"/>
  <pageSetup scale="90" orientation="portrait" r:id="rId1"/>
  <headerFooter>
    <oddHeader>&amp;L&amp;"Arial,Bold"&amp;8 1:55 PM
 10/01/19
 Accrual Basis&amp;C&amp;"Arial,Bold"&amp;12 League of Women Voters of California Education Fund
&amp;14 Statement of Activities
&amp;10 September 2018 through August 2019</oddHeader>
    <oddFooter>&amp;R&amp;"Arial,Bold"&amp;8 Page 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AE103"/>
  <sheetViews>
    <sheetView workbookViewId="0">
      <pane xSplit="6" ySplit="1" topLeftCell="G71" activePane="bottomRight" state="frozenSplit"/>
      <selection pane="topRight" activeCell="H1" sqref="H1"/>
      <selection pane="bottomLeft" activeCell="A2" sqref="A2"/>
      <selection pane="bottomRight" activeCell="AE98" sqref="AE98"/>
    </sheetView>
  </sheetViews>
  <sheetFormatPr defaultRowHeight="15" x14ac:dyDescent="0.25"/>
  <cols>
    <col min="1" max="5" width="3" style="280" customWidth="1"/>
    <col min="6" max="6" width="27.7109375" style="280" customWidth="1"/>
    <col min="7" max="7" width="9.28515625" style="281" bestFit="1" customWidth="1"/>
    <col min="8" max="8" width="2.28515625" style="281" customWidth="1"/>
    <col min="9" max="9" width="10" style="281" customWidth="1"/>
    <col min="10" max="10" width="2.28515625" style="281" customWidth="1"/>
    <col min="11" max="11" width="10.42578125" style="281" customWidth="1"/>
    <col min="12" max="12" width="2.28515625" style="281" customWidth="1"/>
    <col min="13" max="13" width="9.7109375" style="281" customWidth="1"/>
    <col min="14" max="14" width="2.28515625" style="281" customWidth="1"/>
    <col min="15" max="15" width="9.28515625" style="281" bestFit="1" customWidth="1"/>
    <col min="16" max="16" width="2.28515625" style="281" customWidth="1"/>
    <col min="17" max="17" width="9.28515625" style="281" bestFit="1" customWidth="1"/>
    <col min="18" max="18" width="2.28515625" style="281" customWidth="1"/>
    <col min="19" max="19" width="10.42578125" style="281" customWidth="1"/>
    <col min="20" max="20" width="2.28515625" style="281" customWidth="1"/>
    <col min="21" max="21" width="10" style="281" customWidth="1"/>
    <col min="22" max="22" width="2.28515625" style="281" customWidth="1"/>
    <col min="23" max="23" width="10.140625" style="281" customWidth="1"/>
    <col min="24" max="24" width="2.28515625" style="281" customWidth="1"/>
    <col min="25" max="25" width="9.28515625" style="281" bestFit="1" customWidth="1"/>
    <col min="26" max="26" width="2.28515625" style="281" customWidth="1"/>
    <col min="27" max="27" width="9.28515625" style="281" bestFit="1" customWidth="1"/>
    <col min="28" max="28" width="2.28515625" style="281" customWidth="1"/>
    <col min="29" max="29" width="9.28515625" style="281" bestFit="1" customWidth="1"/>
    <col min="30" max="30" width="9.85546875" bestFit="1" customWidth="1"/>
  </cols>
  <sheetData>
    <row r="1" spans="1:29" s="273" customFormat="1" ht="15.75" thickBot="1" x14ac:dyDescent="0.3">
      <c r="A1" s="363"/>
      <c r="B1" s="363"/>
      <c r="C1" s="363"/>
      <c r="D1" s="363"/>
      <c r="E1" s="363"/>
      <c r="F1" s="363"/>
      <c r="G1" s="301" t="s">
        <v>188</v>
      </c>
      <c r="H1" s="272"/>
      <c r="I1" s="301" t="s">
        <v>189</v>
      </c>
      <c r="J1" s="272"/>
      <c r="K1" s="301" t="s">
        <v>190</v>
      </c>
      <c r="L1" s="272"/>
      <c r="M1" s="301" t="s">
        <v>191</v>
      </c>
      <c r="N1" s="272"/>
      <c r="O1" s="301" t="s">
        <v>192</v>
      </c>
      <c r="P1" s="272"/>
      <c r="Q1" s="301" t="s">
        <v>193</v>
      </c>
      <c r="R1" s="272"/>
      <c r="S1" s="301" t="s">
        <v>427</v>
      </c>
      <c r="T1" s="272"/>
      <c r="U1" s="301" t="s">
        <v>437</v>
      </c>
      <c r="V1" s="272"/>
      <c r="W1" s="301" t="s">
        <v>438</v>
      </c>
      <c r="X1" s="272"/>
      <c r="Y1" s="301" t="s">
        <v>447</v>
      </c>
      <c r="Z1" s="272"/>
      <c r="AA1" s="301" t="s">
        <v>458</v>
      </c>
      <c r="AB1" s="272"/>
      <c r="AC1" s="301" t="s">
        <v>474</v>
      </c>
    </row>
    <row r="2" spans="1:29" ht="15.75" thickTop="1" x14ac:dyDescent="0.25">
      <c r="A2" s="369" t="s">
        <v>194</v>
      </c>
      <c r="B2" s="369"/>
      <c r="C2" s="369"/>
      <c r="D2" s="369"/>
      <c r="E2" s="369"/>
      <c r="F2" s="369"/>
      <c r="G2" s="366"/>
      <c r="H2" s="274"/>
      <c r="I2" s="366"/>
      <c r="J2" s="274"/>
      <c r="K2" s="366"/>
      <c r="L2" s="274"/>
      <c r="M2" s="366"/>
      <c r="N2" s="274"/>
      <c r="O2" s="366"/>
      <c r="P2" s="274"/>
      <c r="Q2" s="366"/>
      <c r="R2" s="274"/>
      <c r="S2" s="366"/>
      <c r="T2" s="274"/>
      <c r="U2" s="366"/>
      <c r="V2" s="274"/>
      <c r="W2" s="366"/>
      <c r="X2" s="274"/>
      <c r="Y2" s="366"/>
      <c r="Z2" s="274"/>
      <c r="AA2" s="366"/>
      <c r="AB2" s="274"/>
      <c r="AC2" s="366"/>
    </row>
    <row r="3" spans="1:29" x14ac:dyDescent="0.25">
      <c r="A3" s="369"/>
      <c r="B3" s="369" t="s">
        <v>195</v>
      </c>
      <c r="C3" s="369"/>
      <c r="D3" s="369"/>
      <c r="E3" s="369"/>
      <c r="F3" s="369"/>
      <c r="G3" s="366"/>
      <c r="H3" s="274"/>
      <c r="I3" s="366"/>
      <c r="J3" s="274"/>
      <c r="K3" s="366"/>
      <c r="L3" s="274"/>
      <c r="M3" s="366"/>
      <c r="N3" s="274"/>
      <c r="O3" s="366"/>
      <c r="P3" s="274"/>
      <c r="Q3" s="366"/>
      <c r="R3" s="274"/>
      <c r="S3" s="366"/>
      <c r="T3" s="274"/>
      <c r="U3" s="366"/>
      <c r="V3" s="274"/>
      <c r="W3" s="366"/>
      <c r="X3" s="274"/>
      <c r="Y3" s="366"/>
      <c r="Z3" s="274"/>
      <c r="AA3" s="366"/>
      <c r="AB3" s="274"/>
      <c r="AC3" s="366"/>
    </row>
    <row r="4" spans="1:29" x14ac:dyDescent="0.25">
      <c r="A4" s="369"/>
      <c r="B4" s="369"/>
      <c r="C4" s="369" t="s">
        <v>196</v>
      </c>
      <c r="D4" s="369"/>
      <c r="E4" s="369"/>
      <c r="F4" s="369"/>
      <c r="G4" s="366"/>
      <c r="H4" s="274"/>
      <c r="I4" s="366"/>
      <c r="J4" s="274"/>
      <c r="K4" s="366"/>
      <c r="L4" s="274"/>
      <c r="M4" s="366"/>
      <c r="N4" s="274"/>
      <c r="O4" s="366"/>
      <c r="P4" s="274"/>
      <c r="Q4" s="366"/>
      <c r="R4" s="274"/>
      <c r="S4" s="366"/>
      <c r="T4" s="274"/>
      <c r="U4" s="366"/>
      <c r="V4" s="274"/>
      <c r="W4" s="366"/>
      <c r="X4" s="274"/>
      <c r="Y4" s="366"/>
      <c r="Z4" s="274"/>
      <c r="AA4" s="366"/>
      <c r="AB4" s="274"/>
      <c r="AC4" s="366"/>
    </row>
    <row r="5" spans="1:29" x14ac:dyDescent="0.25">
      <c r="A5" s="369"/>
      <c r="B5" s="369"/>
      <c r="C5" s="369"/>
      <c r="D5" s="369" t="s">
        <v>353</v>
      </c>
      <c r="E5" s="369"/>
      <c r="F5" s="369"/>
      <c r="G5" s="366"/>
      <c r="H5" s="274"/>
      <c r="I5" s="366"/>
      <c r="J5" s="274"/>
      <c r="K5" s="366"/>
      <c r="L5" s="274"/>
      <c r="M5" s="366"/>
      <c r="N5" s="274"/>
      <c r="O5" s="366"/>
      <c r="P5" s="274"/>
      <c r="Q5" s="366"/>
      <c r="R5" s="274"/>
      <c r="S5" s="366"/>
      <c r="T5" s="274"/>
      <c r="U5" s="366"/>
      <c r="V5" s="274"/>
      <c r="W5" s="366"/>
      <c r="X5" s="274"/>
      <c r="Y5" s="366"/>
      <c r="Z5" s="274"/>
      <c r="AA5" s="366"/>
      <c r="AB5" s="274"/>
      <c r="AC5" s="366"/>
    </row>
    <row r="6" spans="1:29" ht="15.75" thickBot="1" x14ac:dyDescent="0.3">
      <c r="A6" s="369"/>
      <c r="B6" s="369"/>
      <c r="C6" s="369"/>
      <c r="D6" s="369"/>
      <c r="E6" s="369" t="s">
        <v>354</v>
      </c>
      <c r="F6" s="369"/>
      <c r="G6" s="275">
        <v>106412.36</v>
      </c>
      <c r="H6" s="274"/>
      <c r="I6" s="275">
        <v>108157.96</v>
      </c>
      <c r="J6" s="274"/>
      <c r="K6" s="275">
        <v>151592</v>
      </c>
      <c r="L6" s="274"/>
      <c r="M6" s="275">
        <v>212201.42</v>
      </c>
      <c r="N6" s="274"/>
      <c r="O6" s="275">
        <v>241568.92</v>
      </c>
      <c r="P6" s="274"/>
      <c r="Q6" s="275">
        <v>185683.98</v>
      </c>
      <c r="R6" s="274"/>
      <c r="S6" s="275">
        <v>234666.37</v>
      </c>
      <c r="T6" s="274"/>
      <c r="U6" s="275">
        <v>238293.3</v>
      </c>
      <c r="V6" s="274"/>
      <c r="W6" s="275">
        <v>272288.87</v>
      </c>
      <c r="X6" s="274"/>
      <c r="Y6" s="275">
        <v>361379.26</v>
      </c>
      <c r="Z6" s="274"/>
      <c r="AA6" s="275">
        <v>450915.48</v>
      </c>
      <c r="AB6" s="274"/>
      <c r="AC6" s="275">
        <v>386401.86</v>
      </c>
    </row>
    <row r="7" spans="1:29" x14ac:dyDescent="0.25">
      <c r="A7" s="369"/>
      <c r="B7" s="369"/>
      <c r="C7" s="369"/>
      <c r="D7" s="369" t="s">
        <v>355</v>
      </c>
      <c r="E7" s="369"/>
      <c r="F7" s="369"/>
      <c r="G7" s="366">
        <f>ROUND(SUM(G5:G6),5)</f>
        <v>106412.36</v>
      </c>
      <c r="H7" s="274"/>
      <c r="I7" s="366">
        <f>ROUND(SUM(I5:I6),5)</f>
        <v>108157.96</v>
      </c>
      <c r="J7" s="274"/>
      <c r="K7" s="366">
        <f>ROUND(SUM(K5:K6),5)</f>
        <v>151592</v>
      </c>
      <c r="L7" s="274"/>
      <c r="M7" s="366">
        <f>ROUND(SUM(M5:M6),5)</f>
        <v>212201.42</v>
      </c>
      <c r="N7" s="274"/>
      <c r="O7" s="366">
        <f>ROUND(SUM(O5:O6),5)</f>
        <v>241568.92</v>
      </c>
      <c r="P7" s="274"/>
      <c r="Q7" s="366">
        <f>ROUND(SUM(Q5:Q6),5)</f>
        <v>185683.98</v>
      </c>
      <c r="R7" s="274"/>
      <c r="S7" s="366">
        <f>ROUND(SUM(S5:S6),5)</f>
        <v>234666.37</v>
      </c>
      <c r="T7" s="274"/>
      <c r="U7" s="366">
        <f>ROUND(SUM(U5:U6),5)</f>
        <v>238293.3</v>
      </c>
      <c r="V7" s="274"/>
      <c r="W7" s="366">
        <f>ROUND(SUM(W5:W6),5)</f>
        <v>272288.87</v>
      </c>
      <c r="X7" s="274"/>
      <c r="Y7" s="366">
        <f>ROUND(SUM(Y5:Y6),5)</f>
        <v>361379.26</v>
      </c>
      <c r="Z7" s="274"/>
      <c r="AA7" s="366">
        <f>ROUND(SUM(AA5:AA6),5)</f>
        <v>450915.48</v>
      </c>
      <c r="AB7" s="274"/>
      <c r="AC7" s="366">
        <f>ROUND(SUM(AC5:AC6),5)</f>
        <v>386401.86</v>
      </c>
    </row>
    <row r="8" spans="1:29" x14ac:dyDescent="0.25">
      <c r="A8" s="369"/>
      <c r="B8" s="369"/>
      <c r="C8" s="369"/>
      <c r="D8" s="369" t="s">
        <v>200</v>
      </c>
      <c r="E8" s="369"/>
      <c r="F8" s="369"/>
      <c r="G8" s="366"/>
      <c r="H8" s="274"/>
      <c r="I8" s="366"/>
      <c r="J8" s="274"/>
      <c r="K8" s="366"/>
      <c r="L8" s="274"/>
      <c r="M8" s="366"/>
      <c r="N8" s="274"/>
      <c r="O8" s="366"/>
      <c r="P8" s="274"/>
      <c r="Q8" s="366"/>
      <c r="R8" s="274"/>
      <c r="S8" s="366"/>
      <c r="T8" s="274"/>
      <c r="U8" s="366"/>
      <c r="V8" s="274"/>
      <c r="W8" s="366"/>
      <c r="X8" s="274"/>
      <c r="Y8" s="366"/>
      <c r="Z8" s="274"/>
      <c r="AA8" s="366"/>
      <c r="AB8" s="274"/>
      <c r="AC8" s="366"/>
    </row>
    <row r="9" spans="1:29" x14ac:dyDescent="0.25">
      <c r="A9" s="369"/>
      <c r="B9" s="369"/>
      <c r="C9" s="369"/>
      <c r="D9" s="369"/>
      <c r="E9" s="369" t="s">
        <v>356</v>
      </c>
      <c r="F9" s="369"/>
      <c r="G9" s="366">
        <v>81246.89</v>
      </c>
      <c r="H9" s="274"/>
      <c r="I9" s="366">
        <v>81384.320000000007</v>
      </c>
      <c r="J9" s="274"/>
      <c r="K9" s="366">
        <v>81384.320000000007</v>
      </c>
      <c r="L9" s="274"/>
      <c r="M9" s="366">
        <v>81384.320000000007</v>
      </c>
      <c r="N9" s="274"/>
      <c r="O9" s="366">
        <v>81084.960000000006</v>
      </c>
      <c r="P9" s="274"/>
      <c r="Q9" s="366">
        <v>80821.73</v>
      </c>
      <c r="R9" s="274"/>
      <c r="S9" s="366">
        <v>80821.73</v>
      </c>
      <c r="T9" s="274"/>
      <c r="U9" s="366">
        <v>80708.539999999994</v>
      </c>
      <c r="V9" s="274"/>
      <c r="W9" s="366">
        <v>82302.11</v>
      </c>
      <c r="X9" s="274"/>
      <c r="Y9" s="366">
        <v>82423.47</v>
      </c>
      <c r="Z9" s="274"/>
      <c r="AA9" s="366">
        <v>82423.47</v>
      </c>
      <c r="AB9" s="274"/>
      <c r="AC9" s="366">
        <v>82601.27</v>
      </c>
    </row>
    <row r="10" spans="1:29" ht="15.75" thickBot="1" x14ac:dyDescent="0.3">
      <c r="A10" s="369"/>
      <c r="B10" s="369"/>
      <c r="C10" s="369"/>
      <c r="D10" s="369"/>
      <c r="E10" s="369" t="s">
        <v>357</v>
      </c>
      <c r="F10" s="369"/>
      <c r="G10" s="275">
        <v>80575.899999999994</v>
      </c>
      <c r="H10" s="274"/>
      <c r="I10" s="275">
        <v>80740.39</v>
      </c>
      <c r="J10" s="274"/>
      <c r="K10" s="275">
        <v>80740.39</v>
      </c>
      <c r="L10" s="274"/>
      <c r="M10" s="275">
        <v>80740.39</v>
      </c>
      <c r="N10" s="274"/>
      <c r="O10" s="275">
        <v>80222.039999999994</v>
      </c>
      <c r="P10" s="274"/>
      <c r="Q10" s="275">
        <v>80038.97</v>
      </c>
      <c r="R10" s="274"/>
      <c r="S10" s="275">
        <v>80038.97</v>
      </c>
      <c r="T10" s="274"/>
      <c r="U10" s="275">
        <v>79872.36</v>
      </c>
      <c r="V10" s="274"/>
      <c r="W10" s="275">
        <v>81964.66</v>
      </c>
      <c r="X10" s="274"/>
      <c r="Y10" s="275">
        <v>0</v>
      </c>
      <c r="Z10" s="274"/>
      <c r="AA10" s="275">
        <v>0</v>
      </c>
      <c r="AB10" s="274"/>
      <c r="AC10" s="275">
        <v>0</v>
      </c>
    </row>
    <row r="11" spans="1:29" x14ac:dyDescent="0.25">
      <c r="A11" s="369"/>
      <c r="B11" s="369"/>
      <c r="C11" s="369"/>
      <c r="D11" s="369" t="s">
        <v>203</v>
      </c>
      <c r="E11" s="369"/>
      <c r="F11" s="369"/>
      <c r="G11" s="366">
        <f>ROUND(SUM(G8:G10),5)</f>
        <v>161822.79</v>
      </c>
      <c r="H11" s="274"/>
      <c r="I11" s="366">
        <f>ROUND(SUM(I8:I10),5)</f>
        <v>162124.71</v>
      </c>
      <c r="J11" s="274"/>
      <c r="K11" s="366">
        <f>ROUND(SUM(K8:K10),5)</f>
        <v>162124.71</v>
      </c>
      <c r="L11" s="274"/>
      <c r="M11" s="366">
        <f>ROUND(SUM(M8:M10),5)</f>
        <v>162124.71</v>
      </c>
      <c r="N11" s="274"/>
      <c r="O11" s="366">
        <f>ROUND(SUM(O8:O10),5)</f>
        <v>161307</v>
      </c>
      <c r="P11" s="274"/>
      <c r="Q11" s="366">
        <f>ROUND(SUM(Q8:Q10),5)</f>
        <v>160860.70000000001</v>
      </c>
      <c r="R11" s="274"/>
      <c r="S11" s="366">
        <f>ROUND(SUM(S8:S10),5)</f>
        <v>160860.70000000001</v>
      </c>
      <c r="T11" s="274"/>
      <c r="U11" s="366">
        <f>ROUND(SUM(U8:U10),5)</f>
        <v>160580.9</v>
      </c>
      <c r="V11" s="274"/>
      <c r="W11" s="366">
        <f>ROUND(SUM(W8:W10),5)</f>
        <v>164266.76999999999</v>
      </c>
      <c r="X11" s="274"/>
      <c r="Y11" s="366">
        <f>ROUND(SUM(Y8:Y10),5)</f>
        <v>82423.47</v>
      </c>
      <c r="Z11" s="274"/>
      <c r="AA11" s="366">
        <f>ROUND(SUM(AA8:AA10),5)</f>
        <v>82423.47</v>
      </c>
      <c r="AB11" s="274"/>
      <c r="AC11" s="366">
        <f>ROUND(SUM(AC8:AC10),5)</f>
        <v>82601.27</v>
      </c>
    </row>
    <row r="12" spans="1:29" x14ac:dyDescent="0.25">
      <c r="A12" s="369"/>
      <c r="B12" s="369"/>
      <c r="C12" s="369"/>
      <c r="D12" s="369" t="s">
        <v>358</v>
      </c>
      <c r="E12" s="369"/>
      <c r="F12" s="369"/>
      <c r="G12" s="366">
        <v>31530.31</v>
      </c>
      <c r="H12" s="274"/>
      <c r="I12" s="366">
        <v>31531.09</v>
      </c>
      <c r="J12" s="274"/>
      <c r="K12" s="366">
        <v>31531.9</v>
      </c>
      <c r="L12" s="274"/>
      <c r="M12" s="366">
        <v>31532.7</v>
      </c>
      <c r="N12" s="274"/>
      <c r="O12" s="366">
        <v>31533.45</v>
      </c>
      <c r="P12" s="274"/>
      <c r="Q12" s="366">
        <v>31533.45</v>
      </c>
      <c r="R12" s="274"/>
      <c r="S12" s="366">
        <v>31534.32</v>
      </c>
      <c r="T12" s="274"/>
      <c r="U12" s="366">
        <v>31534.59</v>
      </c>
      <c r="V12" s="274"/>
      <c r="W12" s="366">
        <v>31534.85</v>
      </c>
      <c r="X12" s="274"/>
      <c r="Y12" s="366">
        <v>31535.119999999999</v>
      </c>
      <c r="Z12" s="274"/>
      <c r="AA12" s="366">
        <v>31535.39</v>
      </c>
      <c r="AB12" s="274"/>
      <c r="AC12" s="366">
        <v>31535.65</v>
      </c>
    </row>
    <row r="13" spans="1:29" x14ac:dyDescent="0.25">
      <c r="A13" s="369"/>
      <c r="B13" s="369"/>
      <c r="C13" s="369"/>
      <c r="D13" s="369" t="s">
        <v>359</v>
      </c>
      <c r="E13" s="369"/>
      <c r="F13" s="369"/>
      <c r="G13" s="366">
        <v>0.99</v>
      </c>
      <c r="H13" s="274"/>
      <c r="I13" s="366">
        <v>0.99</v>
      </c>
      <c r="J13" s="274"/>
      <c r="K13" s="366">
        <v>0.99</v>
      </c>
      <c r="L13" s="274"/>
      <c r="M13" s="366">
        <v>0.99</v>
      </c>
      <c r="N13" s="274"/>
      <c r="O13" s="366">
        <v>0.99</v>
      </c>
      <c r="P13" s="274"/>
      <c r="Q13" s="366">
        <v>0.99</v>
      </c>
      <c r="R13" s="274"/>
      <c r="S13" s="366">
        <v>0.99</v>
      </c>
      <c r="T13" s="274"/>
      <c r="U13" s="366">
        <v>0.99</v>
      </c>
      <c r="V13" s="274"/>
      <c r="W13" s="366">
        <v>675.99</v>
      </c>
      <c r="X13" s="274"/>
      <c r="Y13" s="366">
        <v>675.99</v>
      </c>
      <c r="Z13" s="274"/>
      <c r="AA13" s="366">
        <v>675.99</v>
      </c>
      <c r="AB13" s="274"/>
      <c r="AC13" s="366">
        <v>675.99</v>
      </c>
    </row>
    <row r="14" spans="1:29" ht="15.75" thickBot="1" x14ac:dyDescent="0.3">
      <c r="A14" s="369"/>
      <c r="B14" s="369"/>
      <c r="C14" s="369"/>
      <c r="D14" s="369" t="s">
        <v>428</v>
      </c>
      <c r="E14" s="369"/>
      <c r="F14" s="369"/>
      <c r="G14" s="275">
        <v>0</v>
      </c>
      <c r="H14" s="274"/>
      <c r="I14" s="275">
        <v>0</v>
      </c>
      <c r="J14" s="274"/>
      <c r="K14" s="275">
        <v>0</v>
      </c>
      <c r="L14" s="274"/>
      <c r="M14" s="275">
        <v>0</v>
      </c>
      <c r="N14" s="274"/>
      <c r="O14" s="275">
        <v>0</v>
      </c>
      <c r="P14" s="274"/>
      <c r="Q14" s="275">
        <v>0</v>
      </c>
      <c r="R14" s="274"/>
      <c r="S14" s="275">
        <v>53392</v>
      </c>
      <c r="T14" s="274"/>
      <c r="U14" s="275">
        <v>0</v>
      </c>
      <c r="V14" s="274"/>
      <c r="W14" s="275">
        <v>0</v>
      </c>
      <c r="X14" s="274"/>
      <c r="Y14" s="275">
        <v>0</v>
      </c>
      <c r="Z14" s="274"/>
      <c r="AA14" s="275">
        <v>0</v>
      </c>
      <c r="AB14" s="274"/>
      <c r="AC14" s="275">
        <v>0</v>
      </c>
    </row>
    <row r="15" spans="1:29" x14ac:dyDescent="0.25">
      <c r="A15" s="369"/>
      <c r="B15" s="369"/>
      <c r="C15" s="369" t="s">
        <v>205</v>
      </c>
      <c r="D15" s="369"/>
      <c r="E15" s="369"/>
      <c r="F15" s="369"/>
      <c r="G15" s="366">
        <f>ROUND(G4+G7+SUM(G11:G14),5)</f>
        <v>299766.45</v>
      </c>
      <c r="H15" s="274"/>
      <c r="I15" s="366">
        <f>ROUND(I4+I7+SUM(I11:I14),5)</f>
        <v>301814.75</v>
      </c>
      <c r="J15" s="274"/>
      <c r="K15" s="366">
        <f>ROUND(K4+K7+SUM(K11:K14),5)</f>
        <v>345249.6</v>
      </c>
      <c r="L15" s="274"/>
      <c r="M15" s="366">
        <f>ROUND(M4+M7+SUM(M11:M14),5)</f>
        <v>405859.82</v>
      </c>
      <c r="N15" s="274"/>
      <c r="O15" s="366">
        <f>ROUND(O4+O7+SUM(O11:O14),5)</f>
        <v>434410.36</v>
      </c>
      <c r="P15" s="274"/>
      <c r="Q15" s="366">
        <f>ROUND(Q4+Q7+SUM(Q11:Q14),5)</f>
        <v>378079.12</v>
      </c>
      <c r="R15" s="274"/>
      <c r="S15" s="366">
        <f>ROUND(S4+S7+SUM(S11:S14),5)</f>
        <v>480454.38</v>
      </c>
      <c r="T15" s="274"/>
      <c r="U15" s="366">
        <f>ROUND(U4+U7+SUM(U11:U14),5)</f>
        <v>430409.78</v>
      </c>
      <c r="V15" s="274"/>
      <c r="W15" s="366">
        <f>ROUND(W4+W7+SUM(W11:W14),5)</f>
        <v>468766.48</v>
      </c>
      <c r="X15" s="274"/>
      <c r="Y15" s="366">
        <f>ROUND(Y4+Y7+SUM(Y11:Y14),5)</f>
        <v>476013.84</v>
      </c>
      <c r="Z15" s="274"/>
      <c r="AA15" s="366">
        <f>ROUND(AA4+AA7+SUM(AA11:AA14),5)</f>
        <v>565550.32999999996</v>
      </c>
      <c r="AB15" s="274"/>
      <c r="AC15" s="366">
        <f>ROUND(AC4+AC7+SUM(AC11:AC14),5)</f>
        <v>501214.77</v>
      </c>
    </row>
    <row r="16" spans="1:29" x14ac:dyDescent="0.25">
      <c r="A16" s="369"/>
      <c r="B16" s="369"/>
      <c r="C16" s="369" t="s">
        <v>206</v>
      </c>
      <c r="D16" s="369"/>
      <c r="E16" s="369"/>
      <c r="F16" s="369"/>
      <c r="G16" s="366"/>
      <c r="H16" s="274"/>
      <c r="I16" s="366"/>
      <c r="J16" s="274"/>
      <c r="K16" s="366"/>
      <c r="L16" s="274"/>
      <c r="M16" s="366"/>
      <c r="N16" s="274"/>
      <c r="O16" s="366"/>
      <c r="P16" s="274"/>
      <c r="Q16" s="366"/>
      <c r="R16" s="274"/>
      <c r="S16" s="366"/>
      <c r="T16" s="274"/>
      <c r="U16" s="366"/>
      <c r="V16" s="274"/>
      <c r="W16" s="366"/>
      <c r="X16" s="274"/>
      <c r="Y16" s="366"/>
      <c r="Z16" s="274"/>
      <c r="AA16" s="366"/>
      <c r="AB16" s="274"/>
      <c r="AC16" s="366"/>
    </row>
    <row r="17" spans="1:29" ht="15.75" thickBot="1" x14ac:dyDescent="0.3">
      <c r="A17" s="369"/>
      <c r="B17" s="369"/>
      <c r="C17" s="369"/>
      <c r="D17" s="369" t="s">
        <v>207</v>
      </c>
      <c r="E17" s="369"/>
      <c r="F17" s="369"/>
      <c r="G17" s="275">
        <v>5000</v>
      </c>
      <c r="H17" s="274"/>
      <c r="I17" s="275">
        <v>0</v>
      </c>
      <c r="J17" s="274"/>
      <c r="K17" s="275">
        <v>0</v>
      </c>
      <c r="L17" s="274"/>
      <c r="M17" s="275">
        <v>0</v>
      </c>
      <c r="N17" s="274"/>
      <c r="O17" s="275">
        <v>15000</v>
      </c>
      <c r="P17" s="274"/>
      <c r="Q17" s="275">
        <v>26430</v>
      </c>
      <c r="R17" s="274"/>
      <c r="S17" s="275">
        <v>0</v>
      </c>
      <c r="T17" s="274"/>
      <c r="U17" s="275">
        <v>8800</v>
      </c>
      <c r="V17" s="274"/>
      <c r="W17" s="275">
        <v>0</v>
      </c>
      <c r="X17" s="274"/>
      <c r="Y17" s="275">
        <v>0</v>
      </c>
      <c r="Z17" s="274"/>
      <c r="AA17" s="275">
        <v>1336.47</v>
      </c>
      <c r="AB17" s="274"/>
      <c r="AC17" s="275">
        <v>1336.47</v>
      </c>
    </row>
    <row r="18" spans="1:29" x14ac:dyDescent="0.25">
      <c r="A18" s="369"/>
      <c r="B18" s="369"/>
      <c r="C18" s="369" t="s">
        <v>208</v>
      </c>
      <c r="D18" s="369"/>
      <c r="E18" s="369"/>
      <c r="F18" s="369"/>
      <c r="G18" s="366">
        <f>ROUND(SUM(G16:G17),5)</f>
        <v>5000</v>
      </c>
      <c r="H18" s="274"/>
      <c r="I18" s="366">
        <f>ROUND(SUM(I16:I17),5)</f>
        <v>0</v>
      </c>
      <c r="J18" s="274"/>
      <c r="K18" s="366">
        <f>ROUND(SUM(K16:K17),5)</f>
        <v>0</v>
      </c>
      <c r="L18" s="274"/>
      <c r="M18" s="366">
        <f>ROUND(SUM(M16:M17),5)</f>
        <v>0</v>
      </c>
      <c r="N18" s="274"/>
      <c r="O18" s="366">
        <f>ROUND(SUM(O16:O17),5)</f>
        <v>15000</v>
      </c>
      <c r="P18" s="274"/>
      <c r="Q18" s="366">
        <f>ROUND(SUM(Q16:Q17),5)</f>
        <v>26430</v>
      </c>
      <c r="R18" s="274"/>
      <c r="S18" s="366">
        <f>ROUND(SUM(S16:S17),5)</f>
        <v>0</v>
      </c>
      <c r="T18" s="274"/>
      <c r="U18" s="366">
        <f>ROUND(SUM(U16:U17),5)</f>
        <v>8800</v>
      </c>
      <c r="V18" s="274"/>
      <c r="W18" s="366">
        <f>ROUND(SUM(W16:W17),5)</f>
        <v>0</v>
      </c>
      <c r="X18" s="274"/>
      <c r="Y18" s="366">
        <f>ROUND(SUM(Y16:Y17),5)</f>
        <v>0</v>
      </c>
      <c r="Z18" s="274"/>
      <c r="AA18" s="366">
        <f>ROUND(SUM(AA16:AA17),5)</f>
        <v>1336.47</v>
      </c>
      <c r="AB18" s="274"/>
      <c r="AC18" s="366">
        <f>ROUND(SUM(AC16:AC17),5)</f>
        <v>1336.47</v>
      </c>
    </row>
    <row r="19" spans="1:29" x14ac:dyDescent="0.25">
      <c r="A19" s="369"/>
      <c r="B19" s="369"/>
      <c r="C19" s="369" t="s">
        <v>209</v>
      </c>
      <c r="D19" s="369"/>
      <c r="E19" s="369"/>
      <c r="F19" s="369"/>
      <c r="G19" s="366"/>
      <c r="H19" s="274"/>
      <c r="I19" s="366"/>
      <c r="J19" s="274"/>
      <c r="K19" s="366"/>
      <c r="L19" s="274"/>
      <c r="M19" s="366"/>
      <c r="N19" s="274"/>
      <c r="O19" s="366"/>
      <c r="P19" s="274"/>
      <c r="Q19" s="366"/>
      <c r="R19" s="274"/>
      <c r="S19" s="366"/>
      <c r="T19" s="274"/>
      <c r="U19" s="366"/>
      <c r="V19" s="274"/>
      <c r="W19" s="366"/>
      <c r="X19" s="274"/>
      <c r="Y19" s="366"/>
      <c r="Z19" s="274"/>
      <c r="AA19" s="366"/>
      <c r="AB19" s="274"/>
      <c r="AC19" s="366"/>
    </row>
    <row r="20" spans="1:29" x14ac:dyDescent="0.25">
      <c r="A20" s="369"/>
      <c r="B20" s="369"/>
      <c r="C20" s="369"/>
      <c r="D20" s="369" t="s">
        <v>212</v>
      </c>
      <c r="E20" s="369"/>
      <c r="F20" s="369"/>
      <c r="G20" s="366">
        <v>0</v>
      </c>
      <c r="H20" s="274"/>
      <c r="I20" s="366">
        <v>0</v>
      </c>
      <c r="J20" s="274"/>
      <c r="K20" s="366">
        <v>0</v>
      </c>
      <c r="L20" s="274"/>
      <c r="M20" s="366">
        <v>0</v>
      </c>
      <c r="N20" s="274"/>
      <c r="O20" s="366">
        <v>0</v>
      </c>
      <c r="P20" s="274"/>
      <c r="Q20" s="366">
        <v>0</v>
      </c>
      <c r="R20" s="274"/>
      <c r="S20" s="366">
        <v>0</v>
      </c>
      <c r="T20" s="274"/>
      <c r="U20" s="366">
        <v>0</v>
      </c>
      <c r="V20" s="274"/>
      <c r="W20" s="366">
        <v>0</v>
      </c>
      <c r="X20" s="274"/>
      <c r="Y20" s="366">
        <v>0</v>
      </c>
      <c r="Z20" s="274"/>
      <c r="AA20" s="366">
        <v>24.09</v>
      </c>
      <c r="AB20" s="274"/>
      <c r="AC20" s="366">
        <v>0</v>
      </c>
    </row>
    <row r="21" spans="1:29" x14ac:dyDescent="0.25">
      <c r="A21" s="369"/>
      <c r="B21" s="369"/>
      <c r="C21" s="369"/>
      <c r="D21" s="369" t="s">
        <v>217</v>
      </c>
      <c r="E21" s="369"/>
      <c r="F21" s="369"/>
      <c r="G21" s="366">
        <v>5694.34</v>
      </c>
      <c r="H21" s="274"/>
      <c r="I21" s="366">
        <v>4982.76</v>
      </c>
      <c r="J21" s="274"/>
      <c r="K21" s="366">
        <v>4271.18</v>
      </c>
      <c r="L21" s="274"/>
      <c r="M21" s="366">
        <v>4271.18</v>
      </c>
      <c r="N21" s="274"/>
      <c r="O21" s="366">
        <v>5414.27</v>
      </c>
      <c r="P21" s="274"/>
      <c r="Q21" s="366">
        <v>4712.33</v>
      </c>
      <c r="R21" s="274"/>
      <c r="S21" s="366">
        <v>4010.39</v>
      </c>
      <c r="T21" s="274"/>
      <c r="U21" s="366">
        <v>3308.45</v>
      </c>
      <c r="V21" s="274"/>
      <c r="W21" s="366">
        <v>2772.66</v>
      </c>
      <c r="X21" s="274"/>
      <c r="Y21" s="366">
        <v>2070.7199999999998</v>
      </c>
      <c r="Z21" s="274"/>
      <c r="AA21" s="366">
        <v>1368.78</v>
      </c>
      <c r="AB21" s="274"/>
      <c r="AC21" s="366">
        <v>666.82</v>
      </c>
    </row>
    <row r="22" spans="1:29" ht="15.75" thickBot="1" x14ac:dyDescent="0.3">
      <c r="A22" s="369"/>
      <c r="B22" s="369"/>
      <c r="C22" s="369"/>
      <c r="D22" s="369" t="s">
        <v>360</v>
      </c>
      <c r="E22" s="369"/>
      <c r="F22" s="369"/>
      <c r="G22" s="365">
        <v>4514.24</v>
      </c>
      <c r="H22" s="274"/>
      <c r="I22" s="365">
        <v>3867.2</v>
      </c>
      <c r="J22" s="274"/>
      <c r="K22" s="365">
        <v>1418.27</v>
      </c>
      <c r="L22" s="274"/>
      <c r="M22" s="365">
        <v>178.99</v>
      </c>
      <c r="N22" s="274"/>
      <c r="O22" s="365">
        <v>802.53</v>
      </c>
      <c r="P22" s="274"/>
      <c r="Q22" s="365">
        <v>296</v>
      </c>
      <c r="R22" s="274"/>
      <c r="S22" s="365">
        <v>1562.21</v>
      </c>
      <c r="T22" s="274"/>
      <c r="U22" s="365">
        <v>909.62</v>
      </c>
      <c r="V22" s="274"/>
      <c r="W22" s="365">
        <v>256.93</v>
      </c>
      <c r="X22" s="274"/>
      <c r="Y22" s="365">
        <v>1470.86</v>
      </c>
      <c r="Z22" s="274"/>
      <c r="AA22" s="365">
        <v>949.77</v>
      </c>
      <c r="AB22" s="274"/>
      <c r="AC22" s="365">
        <v>354.32</v>
      </c>
    </row>
    <row r="23" spans="1:29" ht="15.75" thickBot="1" x14ac:dyDescent="0.3">
      <c r="A23" s="369"/>
      <c r="B23" s="369"/>
      <c r="C23" s="369" t="s">
        <v>219</v>
      </c>
      <c r="D23" s="369"/>
      <c r="E23" s="369"/>
      <c r="F23" s="369"/>
      <c r="G23" s="277">
        <f>ROUND(SUM(G19:G22),5)</f>
        <v>10208.58</v>
      </c>
      <c r="H23" s="274"/>
      <c r="I23" s="277">
        <f>ROUND(SUM(I19:I22),5)</f>
        <v>8849.9599999999991</v>
      </c>
      <c r="J23" s="274"/>
      <c r="K23" s="277">
        <f>ROUND(SUM(K19:K22),5)</f>
        <v>5689.45</v>
      </c>
      <c r="L23" s="274"/>
      <c r="M23" s="277">
        <f>ROUND(SUM(M19:M22),5)</f>
        <v>4450.17</v>
      </c>
      <c r="N23" s="274"/>
      <c r="O23" s="277">
        <f>ROUND(SUM(O19:O22),5)</f>
        <v>6216.8</v>
      </c>
      <c r="P23" s="274"/>
      <c r="Q23" s="277">
        <f>ROUND(SUM(Q19:Q22),5)</f>
        <v>5008.33</v>
      </c>
      <c r="R23" s="274"/>
      <c r="S23" s="277">
        <f>ROUND(SUM(S19:S22),5)</f>
        <v>5572.6</v>
      </c>
      <c r="T23" s="274"/>
      <c r="U23" s="277">
        <f>ROUND(SUM(U19:U22),5)</f>
        <v>4218.07</v>
      </c>
      <c r="V23" s="274"/>
      <c r="W23" s="277">
        <f>ROUND(SUM(W19:W22),5)</f>
        <v>3029.59</v>
      </c>
      <c r="X23" s="274"/>
      <c r="Y23" s="277">
        <f>ROUND(SUM(Y19:Y22),5)</f>
        <v>3541.58</v>
      </c>
      <c r="Z23" s="274"/>
      <c r="AA23" s="277">
        <f>ROUND(SUM(AA19:AA22),5)</f>
        <v>2342.64</v>
      </c>
      <c r="AB23" s="274"/>
      <c r="AC23" s="277">
        <f>ROUND(SUM(AC19:AC22),5)</f>
        <v>1021.14</v>
      </c>
    </row>
    <row r="24" spans="1:29" ht="15.75" thickBot="1" x14ac:dyDescent="0.3">
      <c r="A24" s="369"/>
      <c r="B24" s="369" t="s">
        <v>220</v>
      </c>
      <c r="C24" s="369"/>
      <c r="D24" s="369"/>
      <c r="E24" s="369"/>
      <c r="F24" s="369"/>
      <c r="G24" s="277">
        <f>ROUND(G3+G15+G18+G23,5)</f>
        <v>314975.03000000003</v>
      </c>
      <c r="H24" s="274"/>
      <c r="I24" s="277">
        <f>ROUND(I3+I15+I18+I23,5)</f>
        <v>310664.71000000002</v>
      </c>
      <c r="J24" s="274"/>
      <c r="K24" s="277">
        <f>ROUND(K3+K15+K18+K23,5)</f>
        <v>350939.05</v>
      </c>
      <c r="L24" s="274"/>
      <c r="M24" s="277">
        <f>ROUND(M3+M15+M18+M23,5)</f>
        <v>410309.99</v>
      </c>
      <c r="N24" s="274"/>
      <c r="O24" s="277">
        <f>ROUND(O3+O15+O18+O23,5)</f>
        <v>455627.16</v>
      </c>
      <c r="P24" s="274"/>
      <c r="Q24" s="277">
        <f>ROUND(Q3+Q15+Q18+Q23,5)</f>
        <v>409517.45</v>
      </c>
      <c r="R24" s="274"/>
      <c r="S24" s="277">
        <f>ROUND(S3+S15+S18+S23,5)</f>
        <v>486026.98</v>
      </c>
      <c r="T24" s="274"/>
      <c r="U24" s="277">
        <f>ROUND(U3+U15+U18+U23,5)</f>
        <v>443427.85</v>
      </c>
      <c r="V24" s="274"/>
      <c r="W24" s="277">
        <f>ROUND(W3+W15+W18+W23,5)</f>
        <v>471796.07</v>
      </c>
      <c r="X24" s="274"/>
      <c r="Y24" s="277">
        <f>ROUND(Y3+Y15+Y18+Y23,5)</f>
        <v>479555.42</v>
      </c>
      <c r="Z24" s="274"/>
      <c r="AA24" s="277">
        <f>ROUND(AA3+AA15+AA18+AA23,5)</f>
        <v>569229.43999999994</v>
      </c>
      <c r="AB24" s="274"/>
      <c r="AC24" s="277">
        <f>ROUND(AC3+AC15+AC18+AC23,5)</f>
        <v>503572.38</v>
      </c>
    </row>
    <row r="25" spans="1:29" ht="15.75" thickBot="1" x14ac:dyDescent="0.3">
      <c r="A25" s="369" t="s">
        <v>229</v>
      </c>
      <c r="B25" s="369"/>
      <c r="C25" s="369"/>
      <c r="D25" s="369"/>
      <c r="E25" s="369"/>
      <c r="F25" s="369"/>
      <c r="G25" s="278">
        <f>ROUND(G2+G24,5)</f>
        <v>314975.03000000003</v>
      </c>
      <c r="H25" s="369"/>
      <c r="I25" s="278">
        <f>ROUND(I2+I24,5)</f>
        <v>310664.71000000002</v>
      </c>
      <c r="J25" s="369"/>
      <c r="K25" s="278">
        <f>ROUND(K2+K24,5)</f>
        <v>350939.05</v>
      </c>
      <c r="L25" s="369"/>
      <c r="M25" s="278">
        <f>ROUND(M2+M24,5)</f>
        <v>410309.99</v>
      </c>
      <c r="N25" s="369"/>
      <c r="O25" s="278">
        <f>ROUND(O2+O24,5)</f>
        <v>455627.16</v>
      </c>
      <c r="P25" s="369"/>
      <c r="Q25" s="278">
        <f>ROUND(Q2+Q24,5)</f>
        <v>409517.45</v>
      </c>
      <c r="R25" s="369"/>
      <c r="S25" s="278">
        <f>ROUND(S2+S24,5)</f>
        <v>486026.98</v>
      </c>
      <c r="T25" s="369"/>
      <c r="U25" s="278">
        <f>ROUND(U2+U24,5)</f>
        <v>443427.85</v>
      </c>
      <c r="V25" s="369"/>
      <c r="W25" s="278">
        <f>ROUND(W2+W24,5)</f>
        <v>471796.07</v>
      </c>
      <c r="X25" s="369"/>
      <c r="Y25" s="278">
        <f>ROUND(Y2+Y24,5)</f>
        <v>479555.42</v>
      </c>
      <c r="Z25" s="369"/>
      <c r="AA25" s="278">
        <f>ROUND(AA2+AA24,5)</f>
        <v>569229.43999999994</v>
      </c>
      <c r="AB25" s="369"/>
      <c r="AC25" s="278">
        <f>ROUND(AC2+AC24,5)</f>
        <v>503572.38</v>
      </c>
    </row>
    <row r="26" spans="1:29" ht="15.75" thickTop="1" x14ac:dyDescent="0.25">
      <c r="A26" s="369" t="s">
        <v>230</v>
      </c>
      <c r="B26" s="369"/>
      <c r="C26" s="369"/>
      <c r="D26" s="369"/>
      <c r="E26" s="369"/>
      <c r="F26" s="369"/>
      <c r="G26" s="366"/>
      <c r="H26" s="274"/>
      <c r="I26" s="366"/>
      <c r="J26" s="274"/>
      <c r="K26" s="366"/>
      <c r="L26" s="274"/>
      <c r="M26" s="366"/>
      <c r="N26" s="274"/>
      <c r="O26" s="366"/>
      <c r="P26" s="274"/>
      <c r="Q26" s="366"/>
      <c r="R26" s="274"/>
      <c r="S26" s="366"/>
      <c r="T26" s="274"/>
      <c r="U26" s="366"/>
      <c r="V26" s="274"/>
      <c r="W26" s="366"/>
      <c r="X26" s="274"/>
      <c r="Y26" s="366"/>
      <c r="Z26" s="274"/>
      <c r="AA26" s="366"/>
      <c r="AB26" s="274"/>
      <c r="AC26" s="366"/>
    </row>
    <row r="27" spans="1:29" x14ac:dyDescent="0.25">
      <c r="A27" s="369"/>
      <c r="B27" s="369" t="s">
        <v>231</v>
      </c>
      <c r="C27" s="369"/>
      <c r="D27" s="369"/>
      <c r="E27" s="369"/>
      <c r="F27" s="369"/>
      <c r="G27" s="366"/>
      <c r="H27" s="274"/>
      <c r="I27" s="366"/>
      <c r="J27" s="274"/>
      <c r="K27" s="366"/>
      <c r="L27" s="274"/>
      <c r="M27" s="366"/>
      <c r="N27" s="274"/>
      <c r="O27" s="366"/>
      <c r="P27" s="274"/>
      <c r="Q27" s="366"/>
      <c r="R27" s="274"/>
      <c r="S27" s="366"/>
      <c r="T27" s="274"/>
      <c r="U27" s="366"/>
      <c r="V27" s="274"/>
      <c r="W27" s="366"/>
      <c r="X27" s="274"/>
      <c r="Y27" s="366"/>
      <c r="Z27" s="274"/>
      <c r="AA27" s="366"/>
      <c r="AB27" s="274"/>
      <c r="AC27" s="366"/>
    </row>
    <row r="28" spans="1:29" x14ac:dyDescent="0.25">
      <c r="A28" s="369"/>
      <c r="B28" s="369"/>
      <c r="C28" s="369" t="s">
        <v>232</v>
      </c>
      <c r="D28" s="369"/>
      <c r="E28" s="369"/>
      <c r="F28" s="369"/>
      <c r="G28" s="366"/>
      <c r="H28" s="274"/>
      <c r="I28" s="366"/>
      <c r="J28" s="274"/>
      <c r="K28" s="366"/>
      <c r="L28" s="274"/>
      <c r="M28" s="366"/>
      <c r="N28" s="274"/>
      <c r="O28" s="366"/>
      <c r="P28" s="274"/>
      <c r="Q28" s="366"/>
      <c r="R28" s="274"/>
      <c r="S28" s="366"/>
      <c r="T28" s="274"/>
      <c r="U28" s="366"/>
      <c r="V28" s="274"/>
      <c r="W28" s="366"/>
      <c r="X28" s="274"/>
      <c r="Y28" s="366"/>
      <c r="Z28" s="274"/>
      <c r="AA28" s="366"/>
      <c r="AB28" s="274"/>
      <c r="AC28" s="366"/>
    </row>
    <row r="29" spans="1:29" x14ac:dyDescent="0.25">
      <c r="A29" s="369"/>
      <c r="B29" s="369"/>
      <c r="C29" s="369"/>
      <c r="D29" s="369" t="s">
        <v>233</v>
      </c>
      <c r="E29" s="369"/>
      <c r="F29" s="369"/>
      <c r="G29" s="366"/>
      <c r="H29" s="274"/>
      <c r="I29" s="366"/>
      <c r="J29" s="274"/>
      <c r="K29" s="366"/>
      <c r="L29" s="274"/>
      <c r="M29" s="366"/>
      <c r="N29" s="274"/>
      <c r="O29" s="366"/>
      <c r="P29" s="274"/>
      <c r="Q29" s="366"/>
      <c r="R29" s="274"/>
      <c r="S29" s="366"/>
      <c r="T29" s="274"/>
      <c r="U29" s="366"/>
      <c r="V29" s="274"/>
      <c r="W29" s="366"/>
      <c r="X29" s="274"/>
      <c r="Y29" s="366"/>
      <c r="Z29" s="274"/>
      <c r="AA29" s="366"/>
      <c r="AB29" s="274"/>
      <c r="AC29" s="366"/>
    </row>
    <row r="30" spans="1:29" ht="15.75" thickBot="1" x14ac:dyDescent="0.3">
      <c r="A30" s="369"/>
      <c r="B30" s="369"/>
      <c r="C30" s="369"/>
      <c r="D30" s="369"/>
      <c r="E30" s="369" t="s">
        <v>234</v>
      </c>
      <c r="F30" s="369"/>
      <c r="G30" s="275">
        <v>19075.02</v>
      </c>
      <c r="H30" s="274"/>
      <c r="I30" s="275">
        <v>9321.5499999999993</v>
      </c>
      <c r="J30" s="274"/>
      <c r="K30" s="275">
        <v>19073.18</v>
      </c>
      <c r="L30" s="274"/>
      <c r="M30" s="275">
        <v>86.03</v>
      </c>
      <c r="N30" s="274"/>
      <c r="O30" s="275">
        <v>2068</v>
      </c>
      <c r="P30" s="274"/>
      <c r="Q30" s="275">
        <v>6259.7</v>
      </c>
      <c r="R30" s="274"/>
      <c r="S30" s="275">
        <v>2580.6999999999998</v>
      </c>
      <c r="T30" s="274"/>
      <c r="U30" s="275">
        <v>305</v>
      </c>
      <c r="V30" s="274"/>
      <c r="W30" s="275">
        <v>9496.57</v>
      </c>
      <c r="X30" s="274"/>
      <c r="Y30" s="275">
        <v>127.5</v>
      </c>
      <c r="Z30" s="274"/>
      <c r="AA30" s="275">
        <v>83489.91</v>
      </c>
      <c r="AB30" s="274"/>
      <c r="AC30" s="275">
        <v>39226.85</v>
      </c>
    </row>
    <row r="31" spans="1:29" s="279" customFormat="1" ht="11.25" x14ac:dyDescent="0.2">
      <c r="A31" s="369"/>
      <c r="B31" s="369"/>
      <c r="C31" s="369"/>
      <c r="D31" s="369" t="s">
        <v>235</v>
      </c>
      <c r="E31" s="369"/>
      <c r="F31" s="369"/>
      <c r="G31" s="366">
        <f>ROUND(SUM(G29:G30),5)</f>
        <v>19075.02</v>
      </c>
      <c r="H31" s="274"/>
      <c r="I31" s="366">
        <f>ROUND(SUM(I29:I30),5)</f>
        <v>9321.5499999999993</v>
      </c>
      <c r="J31" s="274"/>
      <c r="K31" s="366">
        <f>ROUND(SUM(K29:K30),5)</f>
        <v>19073.18</v>
      </c>
      <c r="L31" s="274"/>
      <c r="M31" s="366">
        <f>ROUND(SUM(M29:M30),5)</f>
        <v>86.03</v>
      </c>
      <c r="N31" s="274"/>
      <c r="O31" s="366">
        <f>ROUND(SUM(O29:O30),5)</f>
        <v>2068</v>
      </c>
      <c r="P31" s="274"/>
      <c r="Q31" s="366">
        <f>ROUND(SUM(Q29:Q30),5)</f>
        <v>6259.7</v>
      </c>
      <c r="R31" s="274"/>
      <c r="S31" s="366">
        <f>ROUND(SUM(S29:S30),5)</f>
        <v>2580.6999999999998</v>
      </c>
      <c r="T31" s="274"/>
      <c r="U31" s="366">
        <f>ROUND(SUM(U29:U30),5)</f>
        <v>305</v>
      </c>
      <c r="V31" s="274"/>
      <c r="W31" s="366">
        <f>ROUND(SUM(W29:W30),5)</f>
        <v>9496.57</v>
      </c>
      <c r="X31" s="274"/>
      <c r="Y31" s="366">
        <f>ROUND(SUM(Y29:Y30),5)</f>
        <v>127.5</v>
      </c>
      <c r="Z31" s="274"/>
      <c r="AA31" s="366">
        <f>ROUND(SUM(AA29:AA30),5)</f>
        <v>83489.91</v>
      </c>
      <c r="AB31" s="274"/>
      <c r="AC31" s="366">
        <f>ROUND(SUM(AC29:AC30),5)</f>
        <v>39226.85</v>
      </c>
    </row>
    <row r="32" spans="1:29" x14ac:dyDescent="0.25">
      <c r="A32" s="369"/>
      <c r="B32" s="369"/>
      <c r="C32" s="369"/>
      <c r="D32" s="369" t="s">
        <v>246</v>
      </c>
      <c r="E32" s="369"/>
      <c r="F32" s="369"/>
      <c r="G32" s="366"/>
      <c r="H32" s="274"/>
      <c r="I32" s="366"/>
      <c r="J32" s="274"/>
      <c r="K32" s="366"/>
      <c r="L32" s="274"/>
      <c r="M32" s="366"/>
      <c r="N32" s="274"/>
      <c r="O32" s="366"/>
      <c r="P32" s="274"/>
      <c r="Q32" s="366"/>
      <c r="R32" s="274"/>
      <c r="S32" s="366"/>
      <c r="T32" s="274"/>
      <c r="U32" s="366"/>
      <c r="V32" s="274"/>
      <c r="W32" s="366"/>
      <c r="X32" s="274"/>
      <c r="Y32" s="366"/>
      <c r="Z32" s="274"/>
      <c r="AA32" s="366"/>
      <c r="AB32" s="274"/>
      <c r="AC32" s="366"/>
    </row>
    <row r="33" spans="1:31" x14ac:dyDescent="0.25">
      <c r="A33" s="369"/>
      <c r="B33" s="369"/>
      <c r="C33" s="369"/>
      <c r="D33" s="369"/>
      <c r="E33" s="369" t="s">
        <v>361</v>
      </c>
      <c r="F33" s="369"/>
      <c r="G33" s="366"/>
      <c r="H33" s="274"/>
      <c r="I33" s="366"/>
      <c r="J33" s="274"/>
      <c r="K33" s="366"/>
      <c r="L33" s="274"/>
      <c r="M33" s="366"/>
      <c r="N33" s="274"/>
      <c r="O33" s="366"/>
      <c r="P33" s="274"/>
      <c r="Q33" s="366"/>
      <c r="R33" s="274"/>
      <c r="S33" s="366"/>
      <c r="T33" s="274"/>
      <c r="U33" s="366"/>
      <c r="V33" s="274"/>
      <c r="W33" s="366"/>
      <c r="X33" s="274"/>
      <c r="Y33" s="366"/>
      <c r="Z33" s="274"/>
      <c r="AA33" s="366"/>
      <c r="AB33" s="274"/>
      <c r="AC33" s="366"/>
      <c r="AD33" s="360"/>
      <c r="AE33" s="360"/>
    </row>
    <row r="34" spans="1:31" x14ac:dyDescent="0.25">
      <c r="A34" s="369"/>
      <c r="B34" s="369"/>
      <c r="C34" s="369"/>
      <c r="D34" s="369"/>
      <c r="E34" s="369"/>
      <c r="F34" s="369" t="s">
        <v>362</v>
      </c>
      <c r="G34" s="366">
        <v>12450.05</v>
      </c>
      <c r="H34" s="274"/>
      <c r="I34" s="366">
        <v>33872.79</v>
      </c>
      <c r="J34" s="274"/>
      <c r="K34" s="366">
        <v>58432.51</v>
      </c>
      <c r="L34" s="274"/>
      <c r="M34" s="366">
        <v>83826.03</v>
      </c>
      <c r="N34" s="274"/>
      <c r="O34" s="366">
        <v>106424.58</v>
      </c>
      <c r="P34" s="274"/>
      <c r="Q34" s="366">
        <v>64993.99</v>
      </c>
      <c r="R34" s="274"/>
      <c r="S34" s="366">
        <v>91703.33</v>
      </c>
      <c r="T34" s="274"/>
      <c r="U34" s="366">
        <v>51746.92</v>
      </c>
      <c r="V34" s="274"/>
      <c r="W34" s="366">
        <v>81471.62</v>
      </c>
      <c r="X34" s="274"/>
      <c r="Y34" s="366">
        <v>104656.96000000001</v>
      </c>
      <c r="Z34" s="274"/>
      <c r="AA34" s="366">
        <v>37797.96</v>
      </c>
      <c r="AB34" s="274"/>
      <c r="AC34" s="366">
        <v>65237.05</v>
      </c>
      <c r="AD34" s="360"/>
      <c r="AE34" s="360"/>
    </row>
    <row r="35" spans="1:31" ht="15.75" thickBot="1" x14ac:dyDescent="0.3">
      <c r="A35" s="369"/>
      <c r="B35" s="369"/>
      <c r="C35" s="369"/>
      <c r="D35" s="369"/>
      <c r="E35" s="369"/>
      <c r="F35" s="369" t="s">
        <v>363</v>
      </c>
      <c r="G35" s="275">
        <v>41590.07</v>
      </c>
      <c r="H35" s="274"/>
      <c r="I35" s="275">
        <v>46783.44</v>
      </c>
      <c r="J35" s="274"/>
      <c r="K35" s="275">
        <v>40926.99</v>
      </c>
      <c r="L35" s="274"/>
      <c r="M35" s="275">
        <v>33010.17</v>
      </c>
      <c r="N35" s="274"/>
      <c r="O35" s="275">
        <v>38636.980000000003</v>
      </c>
      <c r="P35" s="274"/>
      <c r="Q35" s="275">
        <v>24924.38</v>
      </c>
      <c r="R35" s="274"/>
      <c r="S35" s="275">
        <v>22031.8</v>
      </c>
      <c r="T35" s="274"/>
      <c r="U35" s="275">
        <v>22943.77</v>
      </c>
      <c r="V35" s="274"/>
      <c r="W35" s="275">
        <v>23034.5</v>
      </c>
      <c r="X35" s="274"/>
      <c r="Y35" s="275">
        <v>24678.12</v>
      </c>
      <c r="Z35" s="274"/>
      <c r="AA35" s="275">
        <v>31866.32</v>
      </c>
      <c r="AB35" s="274"/>
      <c r="AC35" s="275">
        <v>5794.87</v>
      </c>
      <c r="AD35" s="360"/>
      <c r="AE35" s="360"/>
    </row>
    <row r="36" spans="1:31" x14ac:dyDescent="0.25">
      <c r="A36" s="369"/>
      <c r="B36" s="369"/>
      <c r="C36" s="369"/>
      <c r="D36" s="369"/>
      <c r="E36" s="369" t="s">
        <v>364</v>
      </c>
      <c r="F36" s="369"/>
      <c r="G36" s="366">
        <f>ROUND(SUM(G33:G35),5)</f>
        <v>54040.12</v>
      </c>
      <c r="H36" s="274"/>
      <c r="I36" s="366">
        <f>ROUND(SUM(I33:I35),5)</f>
        <v>80656.23</v>
      </c>
      <c r="J36" s="274"/>
      <c r="K36" s="366">
        <f>ROUND(SUM(K33:K35),5)</f>
        <v>99359.5</v>
      </c>
      <c r="L36" s="274"/>
      <c r="M36" s="366">
        <f>ROUND(SUM(M33:M35),5)</f>
        <v>116836.2</v>
      </c>
      <c r="N36" s="274"/>
      <c r="O36" s="366">
        <f>ROUND(SUM(O33:O35),5)</f>
        <v>145061.56</v>
      </c>
      <c r="P36" s="274"/>
      <c r="Q36" s="366">
        <f>ROUND(SUM(Q33:Q35),5)</f>
        <v>89918.37</v>
      </c>
      <c r="R36" s="274"/>
      <c r="S36" s="366">
        <f>ROUND(SUM(S33:S35),5)</f>
        <v>113735.13</v>
      </c>
      <c r="T36" s="274"/>
      <c r="U36" s="366">
        <f>ROUND(SUM(U33:U35),5)</f>
        <v>74690.69</v>
      </c>
      <c r="V36" s="274"/>
      <c r="W36" s="366">
        <f>ROUND(SUM(W33:W35),5)</f>
        <v>104506.12</v>
      </c>
      <c r="X36" s="274"/>
      <c r="Y36" s="366">
        <f>ROUND(SUM(Y33:Y35),5)</f>
        <v>129335.08</v>
      </c>
      <c r="Z36" s="274"/>
      <c r="AA36" s="366">
        <f>ROUND(SUM(AA33:AA35),5)</f>
        <v>69664.28</v>
      </c>
      <c r="AB36" s="274"/>
      <c r="AC36" s="366">
        <f>ROUND(SUM(AC33:AC35),5)</f>
        <v>71031.92</v>
      </c>
      <c r="AD36" s="360"/>
      <c r="AE36" s="360"/>
    </row>
    <row r="37" spans="1:31" x14ac:dyDescent="0.25">
      <c r="A37" s="369"/>
      <c r="B37" s="369"/>
      <c r="C37" s="369"/>
      <c r="D37" s="369"/>
      <c r="E37" s="369" t="s">
        <v>365</v>
      </c>
      <c r="F37" s="369"/>
      <c r="G37" s="366"/>
      <c r="H37" s="274"/>
      <c r="I37" s="366"/>
      <c r="J37" s="274"/>
      <c r="K37" s="366"/>
      <c r="L37" s="274"/>
      <c r="M37" s="366"/>
      <c r="N37" s="274"/>
      <c r="O37" s="366"/>
      <c r="P37" s="274"/>
      <c r="Q37" s="366"/>
      <c r="R37" s="274"/>
      <c r="S37" s="366"/>
      <c r="T37" s="274"/>
      <c r="U37" s="366"/>
      <c r="V37" s="274"/>
      <c r="W37" s="366"/>
      <c r="X37" s="274"/>
      <c r="Y37" s="366"/>
      <c r="Z37" s="274"/>
      <c r="AA37" s="366"/>
      <c r="AB37" s="274"/>
      <c r="AC37" s="366"/>
      <c r="AD37" s="360"/>
      <c r="AE37" s="360"/>
    </row>
    <row r="38" spans="1:31" x14ac:dyDescent="0.25">
      <c r="A38" s="369"/>
      <c r="B38" s="369"/>
      <c r="C38" s="369"/>
      <c r="D38" s="369"/>
      <c r="E38" s="369"/>
      <c r="F38" s="369" t="s">
        <v>366</v>
      </c>
      <c r="G38" s="366">
        <v>34</v>
      </c>
      <c r="H38" s="274"/>
      <c r="I38" s="366">
        <v>34</v>
      </c>
      <c r="J38" s="274"/>
      <c r="K38" s="366">
        <v>34</v>
      </c>
      <c r="L38" s="274"/>
      <c r="M38" s="366">
        <v>34</v>
      </c>
      <c r="N38" s="274"/>
      <c r="O38" s="366">
        <v>1034</v>
      </c>
      <c r="P38" s="274"/>
      <c r="Q38" s="366">
        <v>1034</v>
      </c>
      <c r="R38" s="274"/>
      <c r="S38" s="366">
        <v>1034</v>
      </c>
      <c r="T38" s="274"/>
      <c r="U38" s="366">
        <v>1034</v>
      </c>
      <c r="V38" s="274"/>
      <c r="W38" s="366">
        <v>0</v>
      </c>
      <c r="X38" s="274"/>
      <c r="Y38" s="366">
        <v>0</v>
      </c>
      <c r="Z38" s="274"/>
      <c r="AA38" s="366">
        <v>0</v>
      </c>
      <c r="AB38" s="274"/>
      <c r="AC38" s="366">
        <v>0</v>
      </c>
      <c r="AD38" s="360"/>
      <c r="AE38" s="360"/>
    </row>
    <row r="39" spans="1:31" x14ac:dyDescent="0.25">
      <c r="A39" s="369"/>
      <c r="B39" s="369"/>
      <c r="C39" s="369"/>
      <c r="D39" s="369"/>
      <c r="E39" s="369"/>
      <c r="F39" s="369" t="s">
        <v>367</v>
      </c>
      <c r="G39" s="366">
        <v>1489.5</v>
      </c>
      <c r="H39" s="274"/>
      <c r="I39" s="366">
        <v>1489.5</v>
      </c>
      <c r="J39" s="274"/>
      <c r="K39" s="366">
        <v>1489.5</v>
      </c>
      <c r="L39" s="274"/>
      <c r="M39" s="366">
        <v>1489.5</v>
      </c>
      <c r="N39" s="274"/>
      <c r="O39" s="366">
        <v>1489.5</v>
      </c>
      <c r="P39" s="274"/>
      <c r="Q39" s="366">
        <v>1489.5</v>
      </c>
      <c r="R39" s="274"/>
      <c r="S39" s="366">
        <v>1489.5</v>
      </c>
      <c r="T39" s="274"/>
      <c r="U39" s="366">
        <v>1489.5</v>
      </c>
      <c r="V39" s="274"/>
      <c r="W39" s="366">
        <v>1489.5</v>
      </c>
      <c r="X39" s="274"/>
      <c r="Y39" s="366">
        <v>1489.5</v>
      </c>
      <c r="Z39" s="274"/>
      <c r="AA39" s="366">
        <v>1489.5</v>
      </c>
      <c r="AB39" s="274"/>
      <c r="AC39" s="366">
        <v>1489.5</v>
      </c>
      <c r="AD39" s="360"/>
      <c r="AE39" s="360"/>
    </row>
    <row r="40" spans="1:31" x14ac:dyDescent="0.25">
      <c r="A40" s="369"/>
      <c r="B40" s="369"/>
      <c r="C40" s="369"/>
      <c r="D40" s="369"/>
      <c r="E40" s="369"/>
      <c r="F40" s="369" t="s">
        <v>368</v>
      </c>
      <c r="G40" s="366">
        <v>35.29</v>
      </c>
      <c r="H40" s="274"/>
      <c r="I40" s="366">
        <v>35.29</v>
      </c>
      <c r="J40" s="274"/>
      <c r="K40" s="366">
        <v>35.29</v>
      </c>
      <c r="L40" s="274"/>
      <c r="M40" s="366">
        <v>35.29</v>
      </c>
      <c r="N40" s="274"/>
      <c r="O40" s="366">
        <v>35.29</v>
      </c>
      <c r="P40" s="274"/>
      <c r="Q40" s="366">
        <v>35.29</v>
      </c>
      <c r="R40" s="274"/>
      <c r="S40" s="366">
        <v>35.29</v>
      </c>
      <c r="T40" s="274"/>
      <c r="U40" s="366">
        <v>35.29</v>
      </c>
      <c r="V40" s="274"/>
      <c r="W40" s="366">
        <v>35.29</v>
      </c>
      <c r="X40" s="274"/>
      <c r="Y40" s="366">
        <v>35.29</v>
      </c>
      <c r="Z40" s="274"/>
      <c r="AA40" s="366">
        <v>35.29</v>
      </c>
      <c r="AB40" s="274"/>
      <c r="AC40" s="366">
        <v>0</v>
      </c>
      <c r="AD40" s="360"/>
      <c r="AE40" s="360"/>
    </row>
    <row r="41" spans="1:31" x14ac:dyDescent="0.25">
      <c r="A41" s="369"/>
      <c r="B41" s="369"/>
      <c r="C41" s="369"/>
      <c r="D41" s="369"/>
      <c r="E41" s="369"/>
      <c r="F41" s="369" t="s">
        <v>369</v>
      </c>
      <c r="G41" s="366">
        <v>713.58</v>
      </c>
      <c r="H41" s="274"/>
      <c r="I41" s="366">
        <v>521.95000000000005</v>
      </c>
      <c r="J41" s="274"/>
      <c r="K41" s="366">
        <v>521.95000000000005</v>
      </c>
      <c r="L41" s="274"/>
      <c r="M41" s="366">
        <v>521.95000000000005</v>
      </c>
      <c r="N41" s="274"/>
      <c r="O41" s="366">
        <v>521.95000000000005</v>
      </c>
      <c r="P41" s="274"/>
      <c r="Q41" s="366">
        <v>551.95000000000005</v>
      </c>
      <c r="R41" s="274"/>
      <c r="S41" s="366">
        <v>751.95</v>
      </c>
      <c r="T41" s="274"/>
      <c r="U41" s="366">
        <v>805.95</v>
      </c>
      <c r="V41" s="274"/>
      <c r="W41" s="366">
        <v>221.95</v>
      </c>
      <c r="X41" s="274"/>
      <c r="Y41" s="366">
        <v>221.95</v>
      </c>
      <c r="Z41" s="274"/>
      <c r="AA41" s="366">
        <v>221.95</v>
      </c>
      <c r="AB41" s="274"/>
      <c r="AC41" s="366">
        <v>221.95</v>
      </c>
      <c r="AD41" s="360"/>
      <c r="AE41" s="360"/>
    </row>
    <row r="42" spans="1:31" x14ac:dyDescent="0.25">
      <c r="A42" s="369"/>
      <c r="B42" s="369"/>
      <c r="C42" s="369"/>
      <c r="D42" s="369"/>
      <c r="E42" s="369"/>
      <c r="F42" s="369" t="s">
        <v>370</v>
      </c>
      <c r="G42" s="366">
        <v>4720.2299999999996</v>
      </c>
      <c r="H42" s="274"/>
      <c r="I42" s="366">
        <v>4720.2299999999996</v>
      </c>
      <c r="J42" s="274"/>
      <c r="K42" s="366">
        <v>4720.2299999999996</v>
      </c>
      <c r="L42" s="274"/>
      <c r="M42" s="366">
        <v>4720.2299999999996</v>
      </c>
      <c r="N42" s="274"/>
      <c r="O42" s="366">
        <v>4520.2299999999996</v>
      </c>
      <c r="P42" s="274"/>
      <c r="Q42" s="366">
        <v>4520.2299999999996</v>
      </c>
      <c r="R42" s="274"/>
      <c r="S42" s="366">
        <v>3354.73</v>
      </c>
      <c r="T42" s="274"/>
      <c r="U42" s="366">
        <v>3354.73</v>
      </c>
      <c r="V42" s="274"/>
      <c r="W42" s="366">
        <v>3354.73</v>
      </c>
      <c r="X42" s="274"/>
      <c r="Y42" s="366">
        <v>3354.73</v>
      </c>
      <c r="Z42" s="274"/>
      <c r="AA42" s="366">
        <v>3354.73</v>
      </c>
      <c r="AB42" s="274"/>
      <c r="AC42" s="366">
        <v>3354.73</v>
      </c>
      <c r="AD42" s="360"/>
      <c r="AE42" s="360"/>
    </row>
    <row r="43" spans="1:31" x14ac:dyDescent="0.25">
      <c r="A43" s="369"/>
      <c r="B43" s="369"/>
      <c r="C43" s="369"/>
      <c r="D43" s="369"/>
      <c r="E43" s="369"/>
      <c r="F43" s="369" t="s">
        <v>371</v>
      </c>
      <c r="G43" s="366">
        <v>799.5</v>
      </c>
      <c r="H43" s="274"/>
      <c r="I43" s="366">
        <v>849.5</v>
      </c>
      <c r="J43" s="274"/>
      <c r="K43" s="366">
        <v>1300</v>
      </c>
      <c r="L43" s="274"/>
      <c r="M43" s="366">
        <v>1470</v>
      </c>
      <c r="N43" s="274"/>
      <c r="O43" s="366">
        <v>3120</v>
      </c>
      <c r="P43" s="274"/>
      <c r="Q43" s="366">
        <v>3570</v>
      </c>
      <c r="R43" s="274"/>
      <c r="S43" s="366">
        <v>3820</v>
      </c>
      <c r="T43" s="274"/>
      <c r="U43" s="366">
        <v>3820</v>
      </c>
      <c r="V43" s="274"/>
      <c r="W43" s="366">
        <v>5625</v>
      </c>
      <c r="X43" s="274"/>
      <c r="Y43" s="366">
        <v>5625</v>
      </c>
      <c r="Z43" s="274"/>
      <c r="AA43" s="366">
        <v>5531</v>
      </c>
      <c r="AB43" s="274"/>
      <c r="AC43" s="366">
        <v>4389</v>
      </c>
      <c r="AD43" s="360"/>
      <c r="AE43" s="360"/>
    </row>
    <row r="44" spans="1:31" x14ac:dyDescent="0.25">
      <c r="A44" s="369"/>
      <c r="B44" s="369"/>
      <c r="C44" s="369"/>
      <c r="D44" s="369"/>
      <c r="E44" s="369"/>
      <c r="F44" s="369" t="s">
        <v>372</v>
      </c>
      <c r="G44" s="366">
        <v>63.92</v>
      </c>
      <c r="H44" s="274"/>
      <c r="I44" s="366">
        <v>63.92</v>
      </c>
      <c r="J44" s="274"/>
      <c r="K44" s="366">
        <v>63.92</v>
      </c>
      <c r="L44" s="274"/>
      <c r="M44" s="366">
        <v>63.92</v>
      </c>
      <c r="N44" s="274"/>
      <c r="O44" s="366">
        <v>63.92</v>
      </c>
      <c r="P44" s="274"/>
      <c r="Q44" s="366">
        <v>63.92</v>
      </c>
      <c r="R44" s="274"/>
      <c r="S44" s="366">
        <v>63.92</v>
      </c>
      <c r="T44" s="274"/>
      <c r="U44" s="366">
        <v>63.92</v>
      </c>
      <c r="V44" s="274"/>
      <c r="W44" s="366">
        <v>63.92</v>
      </c>
      <c r="X44" s="274"/>
      <c r="Y44" s="366">
        <v>63.92</v>
      </c>
      <c r="Z44" s="274"/>
      <c r="AA44" s="366">
        <v>63.92</v>
      </c>
      <c r="AB44" s="274"/>
      <c r="AC44" s="366">
        <v>63.92</v>
      </c>
      <c r="AD44" s="104"/>
      <c r="AE44" s="311"/>
    </row>
    <row r="45" spans="1:31" x14ac:dyDescent="0.25">
      <c r="A45" s="369"/>
      <c r="B45" s="369"/>
      <c r="C45" s="369"/>
      <c r="D45" s="369"/>
      <c r="E45" s="369"/>
      <c r="F45" s="369" t="s">
        <v>373</v>
      </c>
      <c r="G45" s="366">
        <v>500</v>
      </c>
      <c r="H45" s="274"/>
      <c r="I45" s="366">
        <v>500</v>
      </c>
      <c r="J45" s="274"/>
      <c r="K45" s="366">
        <v>500</v>
      </c>
      <c r="L45" s="274"/>
      <c r="M45" s="366">
        <v>500</v>
      </c>
      <c r="N45" s="274"/>
      <c r="O45" s="366">
        <v>500</v>
      </c>
      <c r="P45" s="274"/>
      <c r="Q45" s="366">
        <v>500</v>
      </c>
      <c r="R45" s="274"/>
      <c r="S45" s="366">
        <v>500</v>
      </c>
      <c r="T45" s="274"/>
      <c r="U45" s="366">
        <v>500</v>
      </c>
      <c r="V45" s="274"/>
      <c r="W45" s="366">
        <v>500</v>
      </c>
      <c r="X45" s="274"/>
      <c r="Y45" s="366">
        <v>500</v>
      </c>
      <c r="Z45" s="274"/>
      <c r="AA45" s="366">
        <v>500</v>
      </c>
      <c r="AB45" s="274"/>
      <c r="AC45" s="366">
        <v>500</v>
      </c>
      <c r="AD45" s="104"/>
      <c r="AE45" s="311"/>
    </row>
    <row r="46" spans="1:31" x14ac:dyDescent="0.25">
      <c r="A46" s="369"/>
      <c r="B46" s="369"/>
      <c r="C46" s="369"/>
      <c r="D46" s="369"/>
      <c r="E46" s="369"/>
      <c r="F46" s="369" t="s">
        <v>374</v>
      </c>
      <c r="G46" s="366">
        <v>351.03</v>
      </c>
      <c r="H46" s="274"/>
      <c r="I46" s="366">
        <v>351.03</v>
      </c>
      <c r="J46" s="274"/>
      <c r="K46" s="366">
        <v>263.52999999999997</v>
      </c>
      <c r="L46" s="274"/>
      <c r="M46" s="366">
        <v>263.52999999999997</v>
      </c>
      <c r="N46" s="274"/>
      <c r="O46" s="366">
        <v>263.52999999999997</v>
      </c>
      <c r="P46" s="274"/>
      <c r="Q46" s="366">
        <v>263.52999999999997</v>
      </c>
      <c r="R46" s="274"/>
      <c r="S46" s="366">
        <v>263.52999999999997</v>
      </c>
      <c r="T46" s="274"/>
      <c r="U46" s="366">
        <v>263.52999999999997</v>
      </c>
      <c r="V46" s="274"/>
      <c r="W46" s="366">
        <v>263.52999999999997</v>
      </c>
      <c r="X46" s="274"/>
      <c r="Y46" s="366">
        <v>263.52999999999997</v>
      </c>
      <c r="Z46" s="274"/>
      <c r="AA46" s="366">
        <v>263.52999999999997</v>
      </c>
      <c r="AB46" s="274"/>
      <c r="AC46" s="366">
        <v>263.52999999999997</v>
      </c>
      <c r="AD46" s="104"/>
      <c r="AE46" s="311"/>
    </row>
    <row r="47" spans="1:31" x14ac:dyDescent="0.25">
      <c r="A47" s="369"/>
      <c r="B47" s="369"/>
      <c r="C47" s="369"/>
      <c r="D47" s="369"/>
      <c r="E47" s="369"/>
      <c r="F47" s="369" t="s">
        <v>375</v>
      </c>
      <c r="G47" s="366">
        <v>100</v>
      </c>
      <c r="H47" s="274"/>
      <c r="I47" s="366">
        <v>100</v>
      </c>
      <c r="J47" s="274"/>
      <c r="K47" s="366">
        <v>100</v>
      </c>
      <c r="L47" s="274"/>
      <c r="M47" s="366">
        <v>100</v>
      </c>
      <c r="N47" s="274"/>
      <c r="O47" s="366">
        <v>100</v>
      </c>
      <c r="P47" s="274"/>
      <c r="Q47" s="366">
        <v>100</v>
      </c>
      <c r="R47" s="274"/>
      <c r="S47" s="366">
        <v>100</v>
      </c>
      <c r="T47" s="274"/>
      <c r="U47" s="366">
        <v>100</v>
      </c>
      <c r="V47" s="274"/>
      <c r="W47" s="366">
        <v>100</v>
      </c>
      <c r="X47" s="274"/>
      <c r="Y47" s="366">
        <v>100</v>
      </c>
      <c r="Z47" s="274"/>
      <c r="AA47" s="366">
        <v>100</v>
      </c>
      <c r="AB47" s="274"/>
      <c r="AC47" s="366">
        <v>100</v>
      </c>
      <c r="AD47" s="104"/>
      <c r="AE47" s="311"/>
    </row>
    <row r="48" spans="1:31" x14ac:dyDescent="0.25">
      <c r="A48" s="369"/>
      <c r="B48" s="369"/>
      <c r="C48" s="369"/>
      <c r="D48" s="369"/>
      <c r="E48" s="369"/>
      <c r="F48" s="369" t="s">
        <v>376</v>
      </c>
      <c r="G48" s="366">
        <v>3562.71</v>
      </c>
      <c r="H48" s="274"/>
      <c r="I48" s="366">
        <v>3562.71</v>
      </c>
      <c r="J48" s="274"/>
      <c r="K48" s="366">
        <v>4562.71</v>
      </c>
      <c r="L48" s="274"/>
      <c r="M48" s="366">
        <v>4562.71</v>
      </c>
      <c r="N48" s="274"/>
      <c r="O48" s="366">
        <v>4162.71</v>
      </c>
      <c r="P48" s="274"/>
      <c r="Q48" s="366">
        <v>4162.71</v>
      </c>
      <c r="R48" s="274"/>
      <c r="S48" s="366">
        <v>4162.71</v>
      </c>
      <c r="T48" s="274"/>
      <c r="U48" s="366">
        <v>4327.71</v>
      </c>
      <c r="V48" s="274"/>
      <c r="W48" s="366">
        <v>4327.71</v>
      </c>
      <c r="X48" s="274"/>
      <c r="Y48" s="366">
        <v>4352.71</v>
      </c>
      <c r="Z48" s="274"/>
      <c r="AA48" s="366">
        <v>4352.71</v>
      </c>
      <c r="AB48" s="274"/>
      <c r="AC48" s="366">
        <v>4352.71</v>
      </c>
      <c r="AD48" s="104"/>
      <c r="AE48" s="311"/>
    </row>
    <row r="49" spans="1:31" x14ac:dyDescent="0.25">
      <c r="A49" s="369"/>
      <c r="B49" s="369"/>
      <c r="C49" s="369"/>
      <c r="D49" s="369"/>
      <c r="E49" s="369"/>
      <c r="F49" s="369" t="s">
        <v>377</v>
      </c>
      <c r="G49" s="366">
        <v>1668.29</v>
      </c>
      <c r="H49" s="274"/>
      <c r="I49" s="366">
        <v>1668.29</v>
      </c>
      <c r="J49" s="274"/>
      <c r="K49" s="366">
        <v>1668.29</v>
      </c>
      <c r="L49" s="274"/>
      <c r="M49" s="366">
        <v>1668.29</v>
      </c>
      <c r="N49" s="274"/>
      <c r="O49" s="366">
        <v>1668.29</v>
      </c>
      <c r="P49" s="274"/>
      <c r="Q49" s="366">
        <v>1668.29</v>
      </c>
      <c r="R49" s="274"/>
      <c r="S49" s="366">
        <v>1668.29</v>
      </c>
      <c r="T49" s="274"/>
      <c r="U49" s="366">
        <v>1668.29</v>
      </c>
      <c r="V49" s="274"/>
      <c r="W49" s="366">
        <v>1668.29</v>
      </c>
      <c r="X49" s="274"/>
      <c r="Y49" s="366">
        <v>1668.29</v>
      </c>
      <c r="Z49" s="274"/>
      <c r="AA49" s="366">
        <v>1668.29</v>
      </c>
      <c r="AB49" s="274"/>
      <c r="AC49" s="366">
        <v>1668.29</v>
      </c>
      <c r="AD49" s="104"/>
      <c r="AE49" s="311"/>
    </row>
    <row r="50" spans="1:31" x14ac:dyDescent="0.25">
      <c r="A50" s="369"/>
      <c r="B50" s="369"/>
      <c r="C50" s="369"/>
      <c r="D50" s="369"/>
      <c r="E50" s="369"/>
      <c r="F50" s="369" t="s">
        <v>378</v>
      </c>
      <c r="G50" s="366">
        <v>7227.89</v>
      </c>
      <c r="H50" s="274"/>
      <c r="I50" s="366">
        <v>7227.89</v>
      </c>
      <c r="J50" s="274"/>
      <c r="K50" s="366">
        <v>7227.89</v>
      </c>
      <c r="L50" s="274"/>
      <c r="M50" s="366">
        <v>5891.89</v>
      </c>
      <c r="N50" s="274"/>
      <c r="O50" s="366">
        <v>5891.89</v>
      </c>
      <c r="P50" s="274"/>
      <c r="Q50" s="366">
        <v>5891.89</v>
      </c>
      <c r="R50" s="274"/>
      <c r="S50" s="366">
        <v>5891.89</v>
      </c>
      <c r="T50" s="274"/>
      <c r="U50" s="366">
        <v>6841.89</v>
      </c>
      <c r="V50" s="274"/>
      <c r="W50" s="366">
        <v>6591.89</v>
      </c>
      <c r="X50" s="274"/>
      <c r="Y50" s="366">
        <v>6010.89</v>
      </c>
      <c r="Z50" s="274"/>
      <c r="AA50" s="366">
        <v>4682.8900000000003</v>
      </c>
      <c r="AB50" s="274"/>
      <c r="AC50" s="366">
        <v>4932.8900000000003</v>
      </c>
      <c r="AD50" s="104"/>
      <c r="AE50" s="311"/>
    </row>
    <row r="51" spans="1:31" x14ac:dyDescent="0.25">
      <c r="A51" s="369"/>
      <c r="B51" s="369"/>
      <c r="C51" s="369"/>
      <c r="D51" s="369"/>
      <c r="E51" s="369"/>
      <c r="F51" s="369" t="s">
        <v>379</v>
      </c>
      <c r="G51" s="366">
        <v>3511.83</v>
      </c>
      <c r="H51" s="274"/>
      <c r="I51" s="366">
        <v>3546.83</v>
      </c>
      <c r="J51" s="274"/>
      <c r="K51" s="366">
        <v>2506.9499999999998</v>
      </c>
      <c r="L51" s="274"/>
      <c r="M51" s="366">
        <v>2249.6999999999998</v>
      </c>
      <c r="N51" s="274"/>
      <c r="O51" s="366">
        <v>2299.6999999999998</v>
      </c>
      <c r="P51" s="274"/>
      <c r="Q51" s="366">
        <v>2299.6999999999998</v>
      </c>
      <c r="R51" s="274"/>
      <c r="S51" s="366">
        <v>3094.7</v>
      </c>
      <c r="T51" s="274"/>
      <c r="U51" s="366">
        <v>2836.95</v>
      </c>
      <c r="V51" s="274"/>
      <c r="W51" s="366">
        <v>2861.95</v>
      </c>
      <c r="X51" s="274"/>
      <c r="Y51" s="366">
        <v>2703.82</v>
      </c>
      <c r="Z51" s="274"/>
      <c r="AA51" s="366">
        <v>3338.82</v>
      </c>
      <c r="AB51" s="274"/>
      <c r="AC51" s="366">
        <v>1109.82</v>
      </c>
      <c r="AD51" s="104"/>
      <c r="AE51" s="311"/>
    </row>
    <row r="52" spans="1:31" x14ac:dyDescent="0.25">
      <c r="A52" s="369"/>
      <c r="B52" s="369"/>
      <c r="C52" s="369"/>
      <c r="D52" s="369"/>
      <c r="E52" s="369"/>
      <c r="F52" s="369" t="s">
        <v>380</v>
      </c>
      <c r="G52" s="366">
        <v>12512.11</v>
      </c>
      <c r="H52" s="274"/>
      <c r="I52" s="366">
        <v>12512.11</v>
      </c>
      <c r="J52" s="274"/>
      <c r="K52" s="366">
        <v>9201.58</v>
      </c>
      <c r="L52" s="274"/>
      <c r="M52" s="366">
        <v>9201.58</v>
      </c>
      <c r="N52" s="274"/>
      <c r="O52" s="366">
        <v>9201.58</v>
      </c>
      <c r="P52" s="274"/>
      <c r="Q52" s="366">
        <v>9201.58</v>
      </c>
      <c r="R52" s="274"/>
      <c r="S52" s="366">
        <v>9201.58</v>
      </c>
      <c r="T52" s="274"/>
      <c r="U52" s="366">
        <v>9201.58</v>
      </c>
      <c r="V52" s="274"/>
      <c r="W52" s="366">
        <v>8638.08</v>
      </c>
      <c r="X52" s="274"/>
      <c r="Y52" s="366">
        <v>8568.58</v>
      </c>
      <c r="Z52" s="274"/>
      <c r="AA52" s="366">
        <v>7280.58</v>
      </c>
      <c r="AB52" s="274"/>
      <c r="AC52" s="366">
        <v>7197.38</v>
      </c>
      <c r="AD52" s="104"/>
      <c r="AE52" s="311"/>
    </row>
    <row r="53" spans="1:31" x14ac:dyDescent="0.25">
      <c r="A53" s="369"/>
      <c r="B53" s="369"/>
      <c r="C53" s="369"/>
      <c r="D53" s="369"/>
      <c r="E53" s="369"/>
      <c r="F53" s="369" t="s">
        <v>381</v>
      </c>
      <c r="G53" s="366">
        <v>2466.7600000000002</v>
      </c>
      <c r="H53" s="274"/>
      <c r="I53" s="366">
        <v>2466.7600000000002</v>
      </c>
      <c r="J53" s="274"/>
      <c r="K53" s="366">
        <v>2466.7600000000002</v>
      </c>
      <c r="L53" s="274"/>
      <c r="M53" s="366">
        <v>2466.7600000000002</v>
      </c>
      <c r="N53" s="274"/>
      <c r="O53" s="366">
        <v>2506.7600000000002</v>
      </c>
      <c r="P53" s="274"/>
      <c r="Q53" s="366">
        <v>2506.7600000000002</v>
      </c>
      <c r="R53" s="274"/>
      <c r="S53" s="366">
        <v>2506.7600000000002</v>
      </c>
      <c r="T53" s="274"/>
      <c r="U53" s="366">
        <v>2506.7600000000002</v>
      </c>
      <c r="V53" s="274"/>
      <c r="W53" s="366">
        <v>2506.7600000000002</v>
      </c>
      <c r="X53" s="274"/>
      <c r="Y53" s="366">
        <v>2506.7600000000002</v>
      </c>
      <c r="Z53" s="274"/>
      <c r="AA53" s="366">
        <v>2506.7600000000002</v>
      </c>
      <c r="AB53" s="274"/>
      <c r="AC53" s="366">
        <v>2506.7600000000002</v>
      </c>
      <c r="AD53" s="104"/>
      <c r="AE53" s="311"/>
    </row>
    <row r="54" spans="1:31" x14ac:dyDescent="0.25">
      <c r="A54" s="369"/>
      <c r="B54" s="369"/>
      <c r="C54" s="369"/>
      <c r="D54" s="369"/>
      <c r="E54" s="369"/>
      <c r="F54" s="369" t="s">
        <v>382</v>
      </c>
      <c r="G54" s="366">
        <v>33289.449999999997</v>
      </c>
      <c r="H54" s="274"/>
      <c r="I54" s="366">
        <v>33289.449999999997</v>
      </c>
      <c r="J54" s="274"/>
      <c r="K54" s="366">
        <v>39359.449999999997</v>
      </c>
      <c r="L54" s="274"/>
      <c r="M54" s="366">
        <v>43359.45</v>
      </c>
      <c r="N54" s="274"/>
      <c r="O54" s="366">
        <v>49859.45</v>
      </c>
      <c r="P54" s="274"/>
      <c r="Q54" s="366">
        <v>53559.45</v>
      </c>
      <c r="R54" s="274"/>
      <c r="S54" s="366">
        <v>53559.45</v>
      </c>
      <c r="T54" s="274"/>
      <c r="U54" s="366">
        <v>57059.45</v>
      </c>
      <c r="V54" s="274"/>
      <c r="W54" s="366">
        <v>57059.45</v>
      </c>
      <c r="X54" s="274"/>
      <c r="Y54" s="366">
        <v>57909.45</v>
      </c>
      <c r="Z54" s="274"/>
      <c r="AA54" s="366">
        <v>59989.45</v>
      </c>
      <c r="AB54" s="274"/>
      <c r="AC54" s="366">
        <v>63804.45</v>
      </c>
      <c r="AD54" s="104"/>
      <c r="AE54" s="311"/>
    </row>
    <row r="55" spans="1:31" x14ac:dyDescent="0.25">
      <c r="A55" s="369"/>
      <c r="B55" s="369"/>
      <c r="C55" s="369"/>
      <c r="D55" s="369"/>
      <c r="E55" s="369"/>
      <c r="F55" s="369" t="s">
        <v>383</v>
      </c>
      <c r="G55" s="366">
        <v>1285.1199999999999</v>
      </c>
      <c r="H55" s="274"/>
      <c r="I55" s="366">
        <v>1285.1199999999999</v>
      </c>
      <c r="J55" s="274"/>
      <c r="K55" s="366">
        <v>1285.1199999999999</v>
      </c>
      <c r="L55" s="274"/>
      <c r="M55" s="366">
        <v>1155.82</v>
      </c>
      <c r="N55" s="274"/>
      <c r="O55" s="366">
        <v>1155.82</v>
      </c>
      <c r="P55" s="274"/>
      <c r="Q55" s="366">
        <v>1155.82</v>
      </c>
      <c r="R55" s="274"/>
      <c r="S55" s="366">
        <v>1155.82</v>
      </c>
      <c r="T55" s="274"/>
      <c r="U55" s="366">
        <v>1155.82</v>
      </c>
      <c r="V55" s="274"/>
      <c r="W55" s="366">
        <v>1155.82</v>
      </c>
      <c r="X55" s="274"/>
      <c r="Y55" s="366">
        <v>1155.82</v>
      </c>
      <c r="Z55" s="274"/>
      <c r="AA55" s="366">
        <v>1205.82</v>
      </c>
      <c r="AB55" s="274"/>
      <c r="AC55" s="366">
        <v>1205.82</v>
      </c>
      <c r="AD55" s="104"/>
      <c r="AE55" s="311"/>
    </row>
    <row r="56" spans="1:31" x14ac:dyDescent="0.25">
      <c r="A56" s="369"/>
      <c r="B56" s="369"/>
      <c r="C56" s="369"/>
      <c r="D56" s="369"/>
      <c r="E56" s="369"/>
      <c r="F56" s="369" t="s">
        <v>384</v>
      </c>
      <c r="G56" s="366">
        <v>-1968.82</v>
      </c>
      <c r="H56" s="274"/>
      <c r="I56" s="366">
        <v>-593.82000000000005</v>
      </c>
      <c r="J56" s="274"/>
      <c r="K56" s="366">
        <v>-218.82</v>
      </c>
      <c r="L56" s="274"/>
      <c r="M56" s="366">
        <v>2131.1799999999998</v>
      </c>
      <c r="N56" s="274"/>
      <c r="O56" s="366">
        <v>4116.18</v>
      </c>
      <c r="P56" s="274"/>
      <c r="Q56" s="366">
        <v>4316.18</v>
      </c>
      <c r="R56" s="274"/>
      <c r="S56" s="366">
        <v>4466.18</v>
      </c>
      <c r="T56" s="274"/>
      <c r="U56" s="366">
        <v>4466.18</v>
      </c>
      <c r="V56" s="274"/>
      <c r="W56" s="366">
        <v>4766.18</v>
      </c>
      <c r="X56" s="274"/>
      <c r="Y56" s="366">
        <v>2932.18</v>
      </c>
      <c r="Z56" s="274"/>
      <c r="AA56" s="366">
        <v>2932.18</v>
      </c>
      <c r="AB56" s="274"/>
      <c r="AC56" s="366">
        <v>2296.1799999999998</v>
      </c>
      <c r="AD56" s="104"/>
      <c r="AE56" s="311"/>
    </row>
    <row r="57" spans="1:31" x14ac:dyDescent="0.25">
      <c r="A57" s="369"/>
      <c r="B57" s="369"/>
      <c r="C57" s="369"/>
      <c r="D57" s="369"/>
      <c r="E57" s="369"/>
      <c r="F57" s="369" t="s">
        <v>385</v>
      </c>
      <c r="G57" s="366">
        <v>5500</v>
      </c>
      <c r="H57" s="274"/>
      <c r="I57" s="366">
        <v>5500</v>
      </c>
      <c r="J57" s="274"/>
      <c r="K57" s="366">
        <v>5500</v>
      </c>
      <c r="L57" s="274"/>
      <c r="M57" s="366">
        <v>5500</v>
      </c>
      <c r="N57" s="274"/>
      <c r="O57" s="366">
        <v>5500</v>
      </c>
      <c r="P57" s="274"/>
      <c r="Q57" s="366">
        <v>5500</v>
      </c>
      <c r="R57" s="274"/>
      <c r="S57" s="366">
        <v>5500</v>
      </c>
      <c r="T57" s="274"/>
      <c r="U57" s="366">
        <v>5500</v>
      </c>
      <c r="V57" s="274"/>
      <c r="W57" s="366">
        <v>5500</v>
      </c>
      <c r="X57" s="274"/>
      <c r="Y57" s="366">
        <v>5500</v>
      </c>
      <c r="Z57" s="274"/>
      <c r="AA57" s="366">
        <v>5500</v>
      </c>
      <c r="AB57" s="274"/>
      <c r="AC57" s="366">
        <v>5500</v>
      </c>
      <c r="AD57" s="104"/>
      <c r="AE57" s="311"/>
    </row>
    <row r="58" spans="1:31" x14ac:dyDescent="0.25">
      <c r="A58" s="369"/>
      <c r="B58" s="369"/>
      <c r="C58" s="369"/>
      <c r="D58" s="369"/>
      <c r="E58" s="369"/>
      <c r="F58" s="369" t="s">
        <v>386</v>
      </c>
      <c r="G58" s="366">
        <v>40</v>
      </c>
      <c r="H58" s="274"/>
      <c r="I58" s="366">
        <v>40</v>
      </c>
      <c r="J58" s="274"/>
      <c r="K58" s="366">
        <v>40</v>
      </c>
      <c r="L58" s="274"/>
      <c r="M58" s="366">
        <v>40</v>
      </c>
      <c r="N58" s="274"/>
      <c r="O58" s="366">
        <v>40</v>
      </c>
      <c r="P58" s="274"/>
      <c r="Q58" s="366">
        <v>40</v>
      </c>
      <c r="R58" s="274"/>
      <c r="S58" s="366">
        <v>40</v>
      </c>
      <c r="T58" s="274"/>
      <c r="U58" s="366">
        <v>40</v>
      </c>
      <c r="V58" s="274"/>
      <c r="W58" s="366">
        <v>40</v>
      </c>
      <c r="X58" s="274"/>
      <c r="Y58" s="366">
        <v>40</v>
      </c>
      <c r="Z58" s="274"/>
      <c r="AA58" s="366">
        <v>40</v>
      </c>
      <c r="AB58" s="274"/>
      <c r="AC58" s="366">
        <v>40</v>
      </c>
      <c r="AD58" s="104"/>
      <c r="AE58" s="311"/>
    </row>
    <row r="59" spans="1:31" x14ac:dyDescent="0.25">
      <c r="A59" s="369"/>
      <c r="B59" s="369"/>
      <c r="C59" s="369"/>
      <c r="D59" s="369"/>
      <c r="E59" s="369"/>
      <c r="F59" s="369" t="s">
        <v>387</v>
      </c>
      <c r="G59" s="366">
        <v>-600</v>
      </c>
      <c r="H59" s="274"/>
      <c r="I59" s="366">
        <v>-600</v>
      </c>
      <c r="J59" s="274"/>
      <c r="K59" s="366">
        <v>0</v>
      </c>
      <c r="L59" s="274"/>
      <c r="M59" s="366">
        <v>0</v>
      </c>
      <c r="N59" s="274"/>
      <c r="O59" s="366">
        <v>0</v>
      </c>
      <c r="P59" s="274"/>
      <c r="Q59" s="366">
        <v>0</v>
      </c>
      <c r="R59" s="274"/>
      <c r="S59" s="366">
        <v>0</v>
      </c>
      <c r="T59" s="274"/>
      <c r="U59" s="366">
        <v>0</v>
      </c>
      <c r="V59" s="274"/>
      <c r="W59" s="366">
        <v>0</v>
      </c>
      <c r="X59" s="274"/>
      <c r="Y59" s="366">
        <v>0</v>
      </c>
      <c r="Z59" s="274"/>
      <c r="AA59" s="366">
        <v>0</v>
      </c>
      <c r="AB59" s="274"/>
      <c r="AC59" s="366">
        <v>0</v>
      </c>
      <c r="AD59" s="104"/>
      <c r="AE59" s="311"/>
    </row>
    <row r="60" spans="1:31" x14ac:dyDescent="0.25">
      <c r="A60" s="369"/>
      <c r="B60" s="369"/>
      <c r="C60" s="369"/>
      <c r="D60" s="369"/>
      <c r="E60" s="369"/>
      <c r="F60" s="369" t="s">
        <v>388</v>
      </c>
      <c r="G60" s="366">
        <v>3877.14</v>
      </c>
      <c r="H60" s="274"/>
      <c r="I60" s="366">
        <v>4127.1400000000003</v>
      </c>
      <c r="J60" s="274"/>
      <c r="K60" s="366">
        <v>3588.14</v>
      </c>
      <c r="L60" s="274"/>
      <c r="M60" s="366">
        <v>3588.14</v>
      </c>
      <c r="N60" s="274"/>
      <c r="O60" s="366">
        <v>3588.14</v>
      </c>
      <c r="P60" s="274"/>
      <c r="Q60" s="366">
        <v>3588.14</v>
      </c>
      <c r="R60" s="274"/>
      <c r="S60" s="366">
        <v>3056.14</v>
      </c>
      <c r="T60" s="274"/>
      <c r="U60" s="366">
        <v>3056.14</v>
      </c>
      <c r="V60" s="274"/>
      <c r="W60" s="366">
        <v>3056.14</v>
      </c>
      <c r="X60" s="274"/>
      <c r="Y60" s="366">
        <v>3056.14</v>
      </c>
      <c r="Z60" s="274"/>
      <c r="AA60" s="366">
        <v>3056.14</v>
      </c>
      <c r="AB60" s="274"/>
      <c r="AC60" s="366">
        <v>3056.14</v>
      </c>
      <c r="AD60" s="104"/>
      <c r="AE60" s="311"/>
    </row>
    <row r="61" spans="1:31" x14ac:dyDescent="0.25">
      <c r="A61" s="369"/>
      <c r="B61" s="369"/>
      <c r="C61" s="369"/>
      <c r="D61" s="369"/>
      <c r="E61" s="369"/>
      <c r="F61" s="369" t="s">
        <v>389</v>
      </c>
      <c r="G61" s="366">
        <v>1256.8599999999999</v>
      </c>
      <c r="H61" s="274"/>
      <c r="I61" s="366">
        <v>1256.8599999999999</v>
      </c>
      <c r="J61" s="274"/>
      <c r="K61" s="366">
        <v>1256.8599999999999</v>
      </c>
      <c r="L61" s="274"/>
      <c r="M61" s="366">
        <v>910.36</v>
      </c>
      <c r="N61" s="274"/>
      <c r="O61" s="366">
        <v>910.36</v>
      </c>
      <c r="P61" s="274"/>
      <c r="Q61" s="366">
        <v>910.36</v>
      </c>
      <c r="R61" s="274"/>
      <c r="S61" s="366">
        <v>910.36</v>
      </c>
      <c r="T61" s="274"/>
      <c r="U61" s="366">
        <v>910.36</v>
      </c>
      <c r="V61" s="274"/>
      <c r="W61" s="366">
        <v>910.36</v>
      </c>
      <c r="X61" s="274"/>
      <c r="Y61" s="366">
        <v>910.36</v>
      </c>
      <c r="Z61" s="274"/>
      <c r="AA61" s="366">
        <v>910.36</v>
      </c>
      <c r="AB61" s="274"/>
      <c r="AC61" s="366">
        <v>910.36</v>
      </c>
      <c r="AD61" s="104"/>
      <c r="AE61" s="311"/>
    </row>
    <row r="62" spans="1:31" x14ac:dyDescent="0.25">
      <c r="A62" s="369"/>
      <c r="B62" s="369"/>
      <c r="C62" s="369"/>
      <c r="D62" s="369"/>
      <c r="E62" s="369"/>
      <c r="F62" s="369" t="s">
        <v>390</v>
      </c>
      <c r="G62" s="366">
        <v>5201.29</v>
      </c>
      <c r="H62" s="274"/>
      <c r="I62" s="366">
        <v>5201.29</v>
      </c>
      <c r="J62" s="274"/>
      <c r="K62" s="366">
        <v>5201.29</v>
      </c>
      <c r="L62" s="274"/>
      <c r="M62" s="366">
        <v>5526.29</v>
      </c>
      <c r="N62" s="274"/>
      <c r="O62" s="366">
        <v>5526.29</v>
      </c>
      <c r="P62" s="274"/>
      <c r="Q62" s="366">
        <v>5776.29</v>
      </c>
      <c r="R62" s="274"/>
      <c r="S62" s="366">
        <v>5276.29</v>
      </c>
      <c r="T62" s="274"/>
      <c r="U62" s="366">
        <v>5276.29</v>
      </c>
      <c r="V62" s="274"/>
      <c r="W62" s="366">
        <v>5301.29</v>
      </c>
      <c r="X62" s="274"/>
      <c r="Y62" s="366">
        <v>5401.29</v>
      </c>
      <c r="Z62" s="274"/>
      <c r="AA62" s="366">
        <v>5401.29</v>
      </c>
      <c r="AB62" s="274"/>
      <c r="AC62" s="366">
        <v>5401.29</v>
      </c>
      <c r="AD62" s="104"/>
      <c r="AE62" s="311"/>
    </row>
    <row r="63" spans="1:31" x14ac:dyDescent="0.25">
      <c r="A63" s="369"/>
      <c r="B63" s="369"/>
      <c r="C63" s="369"/>
      <c r="D63" s="369"/>
      <c r="E63" s="369"/>
      <c r="F63" s="369" t="s">
        <v>391</v>
      </c>
      <c r="G63" s="366">
        <v>50</v>
      </c>
      <c r="H63" s="274"/>
      <c r="I63" s="366">
        <v>50</v>
      </c>
      <c r="J63" s="274"/>
      <c r="K63" s="366">
        <v>50</v>
      </c>
      <c r="L63" s="274"/>
      <c r="M63" s="366">
        <v>50</v>
      </c>
      <c r="N63" s="274"/>
      <c r="O63" s="366">
        <v>50</v>
      </c>
      <c r="P63" s="274"/>
      <c r="Q63" s="366">
        <v>50</v>
      </c>
      <c r="R63" s="274"/>
      <c r="S63" s="366">
        <v>50</v>
      </c>
      <c r="T63" s="274"/>
      <c r="U63" s="366">
        <v>50</v>
      </c>
      <c r="V63" s="274"/>
      <c r="W63" s="366">
        <v>50</v>
      </c>
      <c r="X63" s="274"/>
      <c r="Y63" s="366">
        <v>50</v>
      </c>
      <c r="Z63" s="274"/>
      <c r="AA63" s="366">
        <v>50</v>
      </c>
      <c r="AB63" s="274"/>
      <c r="AC63" s="366">
        <v>50</v>
      </c>
      <c r="AD63" s="104"/>
      <c r="AE63" s="311"/>
    </row>
    <row r="64" spans="1:31" x14ac:dyDescent="0.25">
      <c r="A64" s="369"/>
      <c r="B64" s="369"/>
      <c r="C64" s="369"/>
      <c r="D64" s="369"/>
      <c r="E64" s="369"/>
      <c r="F64" s="369" t="s">
        <v>392</v>
      </c>
      <c r="G64" s="366">
        <v>2617.86</v>
      </c>
      <c r="H64" s="274"/>
      <c r="I64" s="366">
        <v>2617.86</v>
      </c>
      <c r="J64" s="274"/>
      <c r="K64" s="366">
        <v>2617.86</v>
      </c>
      <c r="L64" s="274"/>
      <c r="M64" s="366">
        <v>2617.86</v>
      </c>
      <c r="N64" s="274"/>
      <c r="O64" s="366">
        <v>2617.86</v>
      </c>
      <c r="P64" s="274"/>
      <c r="Q64" s="366">
        <v>4867.8599999999997</v>
      </c>
      <c r="R64" s="274"/>
      <c r="S64" s="366">
        <v>5186.76</v>
      </c>
      <c r="T64" s="274"/>
      <c r="U64" s="366">
        <v>5186.76</v>
      </c>
      <c r="V64" s="274"/>
      <c r="W64" s="366">
        <v>5386.76</v>
      </c>
      <c r="X64" s="274"/>
      <c r="Y64" s="366">
        <v>5386.76</v>
      </c>
      <c r="Z64" s="274"/>
      <c r="AA64" s="366">
        <v>4623.76</v>
      </c>
      <c r="AB64" s="274"/>
      <c r="AC64" s="366">
        <v>4898.76</v>
      </c>
      <c r="AD64" s="104"/>
      <c r="AE64" s="311"/>
    </row>
    <row r="65" spans="1:31" x14ac:dyDescent="0.25">
      <c r="A65" s="369"/>
      <c r="B65" s="369"/>
      <c r="C65" s="369"/>
      <c r="D65" s="369"/>
      <c r="E65" s="369"/>
      <c r="F65" s="369" t="s">
        <v>393</v>
      </c>
      <c r="G65" s="366">
        <v>25</v>
      </c>
      <c r="H65" s="274"/>
      <c r="I65" s="366">
        <v>25</v>
      </c>
      <c r="J65" s="274"/>
      <c r="K65" s="366">
        <v>25</v>
      </c>
      <c r="L65" s="274"/>
      <c r="M65" s="366">
        <v>25</v>
      </c>
      <c r="N65" s="274"/>
      <c r="O65" s="366">
        <v>25</v>
      </c>
      <c r="P65" s="274"/>
      <c r="Q65" s="366">
        <v>25</v>
      </c>
      <c r="R65" s="274"/>
      <c r="S65" s="366">
        <v>25</v>
      </c>
      <c r="T65" s="274"/>
      <c r="U65" s="366">
        <v>25</v>
      </c>
      <c r="V65" s="274"/>
      <c r="W65" s="366">
        <v>25</v>
      </c>
      <c r="X65" s="274"/>
      <c r="Y65" s="366">
        <v>25</v>
      </c>
      <c r="Z65" s="274"/>
      <c r="AA65" s="366">
        <v>25</v>
      </c>
      <c r="AB65" s="274"/>
      <c r="AC65" s="366">
        <v>25</v>
      </c>
      <c r="AD65" s="104"/>
      <c r="AE65" s="311"/>
    </row>
    <row r="66" spans="1:31" x14ac:dyDescent="0.25">
      <c r="A66" s="369"/>
      <c r="B66" s="369"/>
      <c r="C66" s="369"/>
      <c r="D66" s="369"/>
      <c r="E66" s="369"/>
      <c r="F66" s="369" t="s">
        <v>394</v>
      </c>
      <c r="G66" s="366">
        <v>74.47</v>
      </c>
      <c r="H66" s="274"/>
      <c r="I66" s="366">
        <v>74.47</v>
      </c>
      <c r="J66" s="274"/>
      <c r="K66" s="366">
        <v>74.47</v>
      </c>
      <c r="L66" s="274"/>
      <c r="M66" s="366">
        <v>74.47</v>
      </c>
      <c r="N66" s="274"/>
      <c r="O66" s="366">
        <v>74.47</v>
      </c>
      <c r="P66" s="274"/>
      <c r="Q66" s="366">
        <v>74.47</v>
      </c>
      <c r="R66" s="274"/>
      <c r="S66" s="366">
        <v>74.47</v>
      </c>
      <c r="T66" s="274"/>
      <c r="U66" s="366">
        <v>74.47</v>
      </c>
      <c r="V66" s="274"/>
      <c r="W66" s="366">
        <v>74.47</v>
      </c>
      <c r="X66" s="274"/>
      <c r="Y66" s="366">
        <v>74.47</v>
      </c>
      <c r="Z66" s="274"/>
      <c r="AA66" s="366">
        <v>74.47</v>
      </c>
      <c r="AB66" s="274"/>
      <c r="AC66" s="366">
        <v>74.47</v>
      </c>
      <c r="AD66" s="104"/>
      <c r="AE66" s="311"/>
    </row>
    <row r="67" spans="1:31" x14ac:dyDescent="0.25">
      <c r="A67" s="369"/>
      <c r="B67" s="369"/>
      <c r="C67" s="369"/>
      <c r="D67" s="369"/>
      <c r="E67" s="369"/>
      <c r="F67" s="369" t="s">
        <v>395</v>
      </c>
      <c r="G67" s="366">
        <v>55.41</v>
      </c>
      <c r="H67" s="274"/>
      <c r="I67" s="366">
        <v>55.41</v>
      </c>
      <c r="J67" s="274"/>
      <c r="K67" s="366">
        <v>55.41</v>
      </c>
      <c r="L67" s="274"/>
      <c r="M67" s="366">
        <v>55.41</v>
      </c>
      <c r="N67" s="274"/>
      <c r="O67" s="366">
        <v>55.41</v>
      </c>
      <c r="P67" s="274"/>
      <c r="Q67" s="366">
        <v>55.41</v>
      </c>
      <c r="R67" s="274"/>
      <c r="S67" s="366">
        <v>55.41</v>
      </c>
      <c r="T67" s="274"/>
      <c r="U67" s="366">
        <v>55.41</v>
      </c>
      <c r="V67" s="274"/>
      <c r="W67" s="366">
        <v>55.41</v>
      </c>
      <c r="X67" s="274"/>
      <c r="Y67" s="366">
        <v>55.41</v>
      </c>
      <c r="Z67" s="274"/>
      <c r="AA67" s="366">
        <v>55.41</v>
      </c>
      <c r="AB67" s="274"/>
      <c r="AC67" s="366">
        <v>55.41</v>
      </c>
      <c r="AD67" s="104"/>
      <c r="AE67" s="311"/>
    </row>
    <row r="68" spans="1:31" x14ac:dyDescent="0.25">
      <c r="A68" s="369"/>
      <c r="B68" s="369"/>
      <c r="C68" s="369"/>
      <c r="D68" s="369"/>
      <c r="E68" s="369"/>
      <c r="F68" s="369" t="s">
        <v>396</v>
      </c>
      <c r="G68" s="366">
        <v>888.66</v>
      </c>
      <c r="H68" s="274"/>
      <c r="I68" s="366">
        <v>888.66</v>
      </c>
      <c r="J68" s="274"/>
      <c r="K68" s="366">
        <v>888.66</v>
      </c>
      <c r="L68" s="274"/>
      <c r="M68" s="366">
        <v>888.66</v>
      </c>
      <c r="N68" s="274"/>
      <c r="O68" s="366">
        <v>888.66</v>
      </c>
      <c r="P68" s="274"/>
      <c r="Q68" s="366">
        <v>888.66</v>
      </c>
      <c r="R68" s="274"/>
      <c r="S68" s="366">
        <v>888.66</v>
      </c>
      <c r="T68" s="274"/>
      <c r="U68" s="366">
        <v>888.66</v>
      </c>
      <c r="V68" s="274"/>
      <c r="W68" s="366">
        <v>888.66</v>
      </c>
      <c r="X68" s="274"/>
      <c r="Y68" s="366">
        <v>888.66</v>
      </c>
      <c r="Z68" s="274"/>
      <c r="AA68" s="366">
        <v>888.66</v>
      </c>
      <c r="AB68" s="274"/>
      <c r="AC68" s="366">
        <v>888.66</v>
      </c>
      <c r="AD68" s="104"/>
      <c r="AE68" s="311"/>
    </row>
    <row r="69" spans="1:31" x14ac:dyDescent="0.25">
      <c r="A69" s="369"/>
      <c r="B69" s="369"/>
      <c r="C69" s="369"/>
      <c r="D69" s="369"/>
      <c r="E69" s="369"/>
      <c r="F69" s="369" t="s">
        <v>397</v>
      </c>
      <c r="G69" s="366">
        <v>6298.17</v>
      </c>
      <c r="H69" s="274"/>
      <c r="I69" s="366">
        <v>6298.17</v>
      </c>
      <c r="J69" s="274"/>
      <c r="K69" s="366">
        <v>6100.05</v>
      </c>
      <c r="L69" s="274"/>
      <c r="M69" s="366">
        <v>2892.27</v>
      </c>
      <c r="N69" s="274"/>
      <c r="O69" s="366">
        <v>2742.27</v>
      </c>
      <c r="P69" s="274"/>
      <c r="Q69" s="366">
        <v>2742.27</v>
      </c>
      <c r="R69" s="274"/>
      <c r="S69" s="366">
        <v>3395.09</v>
      </c>
      <c r="T69" s="274"/>
      <c r="U69" s="366">
        <v>3395.09</v>
      </c>
      <c r="V69" s="274"/>
      <c r="W69" s="366">
        <v>3395.09</v>
      </c>
      <c r="X69" s="274"/>
      <c r="Y69" s="366">
        <v>3395.09</v>
      </c>
      <c r="Z69" s="274"/>
      <c r="AA69" s="366">
        <v>3265.79</v>
      </c>
      <c r="AB69" s="274"/>
      <c r="AC69" s="366">
        <v>3765.79</v>
      </c>
      <c r="AD69" s="104"/>
      <c r="AE69" s="311"/>
    </row>
    <row r="70" spans="1:31" x14ac:dyDescent="0.25">
      <c r="A70" s="369"/>
      <c r="B70" s="369"/>
      <c r="C70" s="369"/>
      <c r="D70" s="369"/>
      <c r="E70" s="369"/>
      <c r="F70" s="369" t="s">
        <v>398</v>
      </c>
      <c r="G70" s="366">
        <v>0</v>
      </c>
      <c r="H70" s="274"/>
      <c r="I70" s="366">
        <v>250</v>
      </c>
      <c r="J70" s="274"/>
      <c r="K70" s="366">
        <v>250</v>
      </c>
      <c r="L70" s="274"/>
      <c r="M70" s="366">
        <v>250</v>
      </c>
      <c r="N70" s="274"/>
      <c r="O70" s="366">
        <v>185</v>
      </c>
      <c r="P70" s="274"/>
      <c r="Q70" s="366">
        <v>185</v>
      </c>
      <c r="R70" s="274"/>
      <c r="S70" s="366">
        <v>185</v>
      </c>
      <c r="T70" s="274"/>
      <c r="U70" s="366">
        <v>185</v>
      </c>
      <c r="V70" s="274"/>
      <c r="W70" s="366">
        <v>980.5</v>
      </c>
      <c r="X70" s="274"/>
      <c r="Y70" s="366">
        <v>1880.5</v>
      </c>
      <c r="Z70" s="274"/>
      <c r="AA70" s="366">
        <v>1930.5</v>
      </c>
      <c r="AB70" s="274"/>
      <c r="AC70" s="366">
        <v>1663.06</v>
      </c>
      <c r="AD70" s="104"/>
      <c r="AE70" s="311"/>
    </row>
    <row r="71" spans="1:31" x14ac:dyDescent="0.25">
      <c r="A71" s="369"/>
      <c r="B71" s="369"/>
      <c r="C71" s="369"/>
      <c r="D71" s="369"/>
      <c r="E71" s="369"/>
      <c r="F71" s="369" t="s">
        <v>442</v>
      </c>
      <c r="G71" s="366">
        <v>0</v>
      </c>
      <c r="H71" s="274"/>
      <c r="I71" s="366">
        <v>0</v>
      </c>
      <c r="J71" s="274"/>
      <c r="K71" s="366">
        <v>0</v>
      </c>
      <c r="L71" s="274"/>
      <c r="M71" s="366">
        <v>0</v>
      </c>
      <c r="N71" s="274"/>
      <c r="O71" s="366">
        <v>0</v>
      </c>
      <c r="P71" s="274"/>
      <c r="Q71" s="366">
        <v>0</v>
      </c>
      <c r="R71" s="274"/>
      <c r="S71" s="366">
        <v>0</v>
      </c>
      <c r="T71" s="274"/>
      <c r="U71" s="366">
        <v>0</v>
      </c>
      <c r="V71" s="274"/>
      <c r="W71" s="366">
        <v>1034</v>
      </c>
      <c r="X71" s="274"/>
      <c r="Y71" s="366">
        <v>1268</v>
      </c>
      <c r="Z71" s="274"/>
      <c r="AA71" s="366">
        <v>820</v>
      </c>
      <c r="AB71" s="274"/>
      <c r="AC71" s="366">
        <v>864</v>
      </c>
      <c r="AD71" s="104"/>
      <c r="AE71" s="311"/>
    </row>
    <row r="72" spans="1:31" x14ac:dyDescent="0.25">
      <c r="A72" s="369"/>
      <c r="B72" s="369"/>
      <c r="C72" s="369"/>
      <c r="D72" s="369"/>
      <c r="E72" s="369"/>
      <c r="F72" s="369" t="s">
        <v>439</v>
      </c>
      <c r="G72" s="366">
        <v>0</v>
      </c>
      <c r="H72" s="274"/>
      <c r="I72" s="366">
        <v>0</v>
      </c>
      <c r="J72" s="274"/>
      <c r="K72" s="366">
        <v>0</v>
      </c>
      <c r="L72" s="274"/>
      <c r="M72" s="366">
        <v>0</v>
      </c>
      <c r="N72" s="274"/>
      <c r="O72" s="366">
        <v>0</v>
      </c>
      <c r="P72" s="274"/>
      <c r="Q72" s="366">
        <v>0</v>
      </c>
      <c r="R72" s="274"/>
      <c r="S72" s="366">
        <v>0</v>
      </c>
      <c r="T72" s="274"/>
      <c r="U72" s="366">
        <v>0</v>
      </c>
      <c r="V72" s="274"/>
      <c r="W72" s="366">
        <v>50</v>
      </c>
      <c r="X72" s="274"/>
      <c r="Y72" s="366">
        <v>50</v>
      </c>
      <c r="Z72" s="274"/>
      <c r="AA72" s="366">
        <v>50</v>
      </c>
      <c r="AB72" s="274"/>
      <c r="AC72" s="366">
        <v>50</v>
      </c>
      <c r="AD72" s="104"/>
      <c r="AE72" s="311"/>
    </row>
    <row r="73" spans="1:31" ht="15.75" thickBot="1" x14ac:dyDescent="0.3">
      <c r="A73" s="369"/>
      <c r="B73" s="369"/>
      <c r="C73" s="369"/>
      <c r="D73" s="369"/>
      <c r="E73" s="369"/>
      <c r="F73" s="369" t="s">
        <v>399</v>
      </c>
      <c r="G73" s="275">
        <v>0</v>
      </c>
      <c r="H73" s="274"/>
      <c r="I73" s="275">
        <v>0</v>
      </c>
      <c r="J73" s="274"/>
      <c r="K73" s="275">
        <v>0</v>
      </c>
      <c r="L73" s="274"/>
      <c r="M73" s="275">
        <v>50</v>
      </c>
      <c r="N73" s="274"/>
      <c r="O73" s="275">
        <v>50</v>
      </c>
      <c r="P73" s="274"/>
      <c r="Q73" s="275">
        <v>50</v>
      </c>
      <c r="R73" s="274"/>
      <c r="S73" s="275">
        <v>50</v>
      </c>
      <c r="T73" s="274"/>
      <c r="U73" s="275">
        <v>50</v>
      </c>
      <c r="V73" s="274"/>
      <c r="W73" s="275">
        <v>0</v>
      </c>
      <c r="X73" s="274"/>
      <c r="Y73" s="275">
        <v>0</v>
      </c>
      <c r="Z73" s="274"/>
      <c r="AA73" s="275">
        <v>0</v>
      </c>
      <c r="AB73" s="274"/>
      <c r="AC73" s="275">
        <v>0</v>
      </c>
      <c r="AD73" s="104"/>
      <c r="AE73" s="311"/>
    </row>
    <row r="74" spans="1:31" x14ac:dyDescent="0.25">
      <c r="A74" s="369"/>
      <c r="B74" s="369"/>
      <c r="C74" s="369"/>
      <c r="D74" s="369"/>
      <c r="E74" s="369" t="s">
        <v>400</v>
      </c>
      <c r="F74" s="369"/>
      <c r="G74" s="366">
        <f>ROUND(SUM(G37:G73),5)</f>
        <v>97647.25</v>
      </c>
      <c r="H74" s="274"/>
      <c r="I74" s="366">
        <f>ROUND(SUM(I37:I73),5)</f>
        <v>99415.62</v>
      </c>
      <c r="J74" s="274"/>
      <c r="K74" s="366">
        <f>ROUND(SUM(K37:K73),5)</f>
        <v>102736.09</v>
      </c>
      <c r="L74" s="274"/>
      <c r="M74" s="366">
        <f>ROUND(SUM(M37:M73),5)</f>
        <v>104354.26</v>
      </c>
      <c r="N74" s="274"/>
      <c r="O74" s="366">
        <f>ROUND(SUM(O37:O73),5)</f>
        <v>114764.26</v>
      </c>
      <c r="P74" s="274"/>
      <c r="Q74" s="366">
        <f>ROUND(SUM(Q37:Q73),5)</f>
        <v>121644.26</v>
      </c>
      <c r="R74" s="274"/>
      <c r="S74" s="366">
        <f>ROUND(SUM(S37:S73),5)</f>
        <v>121813.48</v>
      </c>
      <c r="T74" s="274"/>
      <c r="U74" s="366">
        <f>ROUND(SUM(U37:U73),5)</f>
        <v>126224.73</v>
      </c>
      <c r="V74" s="274"/>
      <c r="W74" s="366">
        <f>ROUND(SUM(W37:W73),5)</f>
        <v>127977.73</v>
      </c>
      <c r="X74" s="274"/>
      <c r="Y74" s="366">
        <f>ROUND(SUM(Y37:Y73),5)</f>
        <v>127444.1</v>
      </c>
      <c r="Z74" s="274"/>
      <c r="AA74" s="366">
        <f>ROUND(SUM(AA37:AA73),5)</f>
        <v>126208.8</v>
      </c>
      <c r="AB74" s="274"/>
      <c r="AC74" s="366">
        <f>ROUND(SUM(AC37:AC73),5)</f>
        <v>126699.87</v>
      </c>
      <c r="AD74" s="104"/>
      <c r="AE74" s="311"/>
    </row>
    <row r="75" spans="1:31" x14ac:dyDescent="0.25">
      <c r="A75" s="369"/>
      <c r="B75" s="369"/>
      <c r="C75" s="369"/>
      <c r="D75" s="369"/>
      <c r="E75" s="369" t="s">
        <v>401</v>
      </c>
      <c r="F75" s="369"/>
      <c r="G75" s="366">
        <v>59.89</v>
      </c>
      <c r="H75" s="274"/>
      <c r="I75" s="366">
        <v>59.89</v>
      </c>
      <c r="J75" s="274"/>
      <c r="K75" s="366">
        <v>11.61</v>
      </c>
      <c r="L75" s="274"/>
      <c r="M75" s="366">
        <v>20.91</v>
      </c>
      <c r="N75" s="274"/>
      <c r="O75" s="366">
        <v>20.91</v>
      </c>
      <c r="P75" s="274"/>
      <c r="Q75" s="366">
        <v>20.91</v>
      </c>
      <c r="R75" s="274"/>
      <c r="S75" s="366">
        <v>20.91</v>
      </c>
      <c r="T75" s="274"/>
      <c r="U75" s="366">
        <v>20.91</v>
      </c>
      <c r="V75" s="274"/>
      <c r="W75" s="366">
        <v>3.5</v>
      </c>
      <c r="X75" s="274"/>
      <c r="Y75" s="366">
        <v>0</v>
      </c>
      <c r="Z75" s="274"/>
      <c r="AA75" s="366">
        <v>1688.07</v>
      </c>
      <c r="AB75" s="274"/>
      <c r="AC75" s="366">
        <v>2145.0500000000002</v>
      </c>
      <c r="AD75" s="104"/>
      <c r="AE75" s="311"/>
    </row>
    <row r="76" spans="1:31" x14ac:dyDescent="0.25">
      <c r="A76" s="369"/>
      <c r="B76" s="369"/>
      <c r="C76" s="369"/>
      <c r="D76" s="369"/>
      <c r="E76" s="369" t="s">
        <v>402</v>
      </c>
      <c r="F76" s="369"/>
      <c r="G76" s="366">
        <v>11164.05</v>
      </c>
      <c r="H76" s="274"/>
      <c r="I76" s="366">
        <v>11634.52</v>
      </c>
      <c r="J76" s="274"/>
      <c r="K76" s="366">
        <v>12900.75</v>
      </c>
      <c r="L76" s="274"/>
      <c r="M76" s="366">
        <v>10644.73</v>
      </c>
      <c r="N76" s="274"/>
      <c r="O76" s="366">
        <v>10440.959999999999</v>
      </c>
      <c r="P76" s="274"/>
      <c r="Q76" s="366">
        <v>10721.18</v>
      </c>
      <c r="R76" s="274"/>
      <c r="S76" s="366">
        <v>15768.93</v>
      </c>
      <c r="T76" s="274"/>
      <c r="U76" s="366">
        <v>13739.04</v>
      </c>
      <c r="V76" s="274"/>
      <c r="W76" s="366">
        <v>14580.56</v>
      </c>
      <c r="X76" s="274"/>
      <c r="Y76" s="366">
        <v>11798.94</v>
      </c>
      <c r="Z76" s="274"/>
      <c r="AA76" s="366">
        <v>17165.060000000001</v>
      </c>
      <c r="AB76" s="274"/>
      <c r="AC76" s="366">
        <v>13569.71</v>
      </c>
      <c r="AD76" s="104"/>
      <c r="AE76" s="311"/>
    </row>
    <row r="77" spans="1:31" x14ac:dyDescent="0.25">
      <c r="A77" s="369"/>
      <c r="B77" s="369"/>
      <c r="C77" s="369"/>
      <c r="D77" s="369"/>
      <c r="E77" s="369" t="s">
        <v>429</v>
      </c>
      <c r="F77" s="369"/>
      <c r="G77" s="366">
        <v>0</v>
      </c>
      <c r="H77" s="274"/>
      <c r="I77" s="366">
        <v>0</v>
      </c>
      <c r="J77" s="274"/>
      <c r="K77" s="366">
        <v>0</v>
      </c>
      <c r="L77" s="274"/>
      <c r="M77" s="366">
        <v>0</v>
      </c>
      <c r="N77" s="274"/>
      <c r="O77" s="366">
        <v>0</v>
      </c>
      <c r="P77" s="274"/>
      <c r="Q77" s="366">
        <v>0</v>
      </c>
      <c r="R77" s="274"/>
      <c r="S77" s="366">
        <v>11.86</v>
      </c>
      <c r="T77" s="274"/>
      <c r="U77" s="366">
        <v>56.35</v>
      </c>
      <c r="V77" s="274"/>
      <c r="W77" s="366">
        <v>100.84</v>
      </c>
      <c r="X77" s="274"/>
      <c r="Y77" s="366">
        <v>145.33000000000001</v>
      </c>
      <c r="Z77" s="274"/>
      <c r="AA77" s="366">
        <v>189.82</v>
      </c>
      <c r="AB77" s="274"/>
      <c r="AC77" s="366">
        <v>234.31</v>
      </c>
      <c r="AD77" s="104"/>
      <c r="AE77" s="311"/>
    </row>
    <row r="78" spans="1:31" x14ac:dyDescent="0.25">
      <c r="A78" s="369"/>
      <c r="B78" s="369"/>
      <c r="C78" s="369"/>
      <c r="D78" s="369"/>
      <c r="E78" s="369" t="s">
        <v>430</v>
      </c>
      <c r="F78" s="369"/>
      <c r="G78" s="366">
        <v>0</v>
      </c>
      <c r="H78" s="274"/>
      <c r="I78" s="366">
        <v>0</v>
      </c>
      <c r="J78" s="274"/>
      <c r="K78" s="366">
        <v>0</v>
      </c>
      <c r="L78" s="274"/>
      <c r="M78" s="366">
        <v>0</v>
      </c>
      <c r="N78" s="274"/>
      <c r="O78" s="366">
        <v>0</v>
      </c>
      <c r="P78" s="274"/>
      <c r="Q78" s="366">
        <v>0</v>
      </c>
      <c r="R78" s="274"/>
      <c r="S78" s="366">
        <v>53392</v>
      </c>
      <c r="T78" s="274"/>
      <c r="U78" s="366">
        <v>53392</v>
      </c>
      <c r="V78" s="274"/>
      <c r="W78" s="366">
        <v>53392</v>
      </c>
      <c r="X78" s="274"/>
      <c r="Y78" s="366">
        <v>53392</v>
      </c>
      <c r="Z78" s="274"/>
      <c r="AA78" s="366">
        <v>53392</v>
      </c>
      <c r="AB78" s="274"/>
      <c r="AC78" s="366">
        <v>53392</v>
      </c>
      <c r="AD78" s="104"/>
      <c r="AE78" s="311"/>
    </row>
    <row r="79" spans="1:31" ht="15.75" thickBot="1" x14ac:dyDescent="0.3">
      <c r="A79" s="369"/>
      <c r="B79" s="369"/>
      <c r="C79" s="369"/>
      <c r="D79" s="369"/>
      <c r="E79" s="369" t="s">
        <v>403</v>
      </c>
      <c r="F79" s="369"/>
      <c r="G79" s="365">
        <v>0</v>
      </c>
      <c r="H79" s="274"/>
      <c r="I79" s="365">
        <v>0</v>
      </c>
      <c r="J79" s="274"/>
      <c r="K79" s="365">
        <v>0</v>
      </c>
      <c r="L79" s="274"/>
      <c r="M79" s="365">
        <v>-2467.5500000000002</v>
      </c>
      <c r="N79" s="274"/>
      <c r="O79" s="365">
        <v>0</v>
      </c>
      <c r="P79" s="274"/>
      <c r="Q79" s="365">
        <v>0</v>
      </c>
      <c r="R79" s="274"/>
      <c r="S79" s="365">
        <v>0</v>
      </c>
      <c r="T79" s="274"/>
      <c r="U79" s="365">
        <v>0</v>
      </c>
      <c r="V79" s="274"/>
      <c r="W79" s="365">
        <v>0</v>
      </c>
      <c r="X79" s="274"/>
      <c r="Y79" s="365">
        <v>0</v>
      </c>
      <c r="Z79" s="274"/>
      <c r="AA79" s="365">
        <v>0</v>
      </c>
      <c r="AB79" s="274"/>
      <c r="AC79" s="365">
        <v>0</v>
      </c>
      <c r="AD79" s="104"/>
      <c r="AE79" s="311"/>
    </row>
    <row r="80" spans="1:31" ht="15.75" thickBot="1" x14ac:dyDescent="0.3">
      <c r="A80" s="369"/>
      <c r="B80" s="369"/>
      <c r="C80" s="369"/>
      <c r="D80" s="369" t="s">
        <v>260</v>
      </c>
      <c r="E80" s="369"/>
      <c r="F80" s="369"/>
      <c r="G80" s="277">
        <f>ROUND(G32+G36+SUM(G74:G79),5)</f>
        <v>162911.31</v>
      </c>
      <c r="H80" s="274"/>
      <c r="I80" s="277">
        <f>ROUND(I32+I36+SUM(I74:I79),5)</f>
        <v>191766.26</v>
      </c>
      <c r="J80" s="274"/>
      <c r="K80" s="277">
        <f>ROUND(K32+K36+SUM(K74:K79),5)</f>
        <v>215007.95</v>
      </c>
      <c r="L80" s="274"/>
      <c r="M80" s="277">
        <f>ROUND(M32+M36+SUM(M74:M79),5)</f>
        <v>229388.55</v>
      </c>
      <c r="N80" s="274"/>
      <c r="O80" s="277">
        <f>ROUND(O32+O36+SUM(O74:O79),5)</f>
        <v>270287.69</v>
      </c>
      <c r="P80" s="274"/>
      <c r="Q80" s="277">
        <f>ROUND(Q32+Q36+SUM(Q74:Q79),5)</f>
        <v>222304.72</v>
      </c>
      <c r="R80" s="274"/>
      <c r="S80" s="277">
        <f>ROUND(S32+S36+SUM(S74:S79),5)</f>
        <v>304742.31</v>
      </c>
      <c r="T80" s="274"/>
      <c r="U80" s="277">
        <f>ROUND(U32+U36+SUM(U74:U79),5)</f>
        <v>268123.71999999997</v>
      </c>
      <c r="V80" s="274"/>
      <c r="W80" s="277">
        <f>ROUND(W32+W36+SUM(W74:W79),5)</f>
        <v>300560.75</v>
      </c>
      <c r="X80" s="274"/>
      <c r="Y80" s="277">
        <f>ROUND(Y32+Y36+SUM(Y74:Y79),5)</f>
        <v>322115.45</v>
      </c>
      <c r="Z80" s="274"/>
      <c r="AA80" s="277">
        <f>ROUND(AA32+AA36+SUM(AA74:AA79),5)</f>
        <v>268308.03000000003</v>
      </c>
      <c r="AB80" s="274"/>
      <c r="AC80" s="277">
        <f>ROUND(AC32+AC36+SUM(AC74:AC79),5)</f>
        <v>267072.86</v>
      </c>
      <c r="AD80" s="104"/>
      <c r="AE80" s="360"/>
    </row>
    <row r="81" spans="1:31" ht="15.75" thickBot="1" x14ac:dyDescent="0.3">
      <c r="A81" s="369"/>
      <c r="B81" s="369"/>
      <c r="C81" s="369" t="s">
        <v>261</v>
      </c>
      <c r="D81" s="369"/>
      <c r="E81" s="369"/>
      <c r="F81" s="369"/>
      <c r="G81" s="276">
        <f>ROUND(G28+G31+G80,5)</f>
        <v>181986.33</v>
      </c>
      <c r="H81" s="274"/>
      <c r="I81" s="276">
        <f>ROUND(I28+I31+I80,5)</f>
        <v>201087.81</v>
      </c>
      <c r="J81" s="274"/>
      <c r="K81" s="276">
        <f>ROUND(K28+K31+K80,5)</f>
        <v>234081.13</v>
      </c>
      <c r="L81" s="274"/>
      <c r="M81" s="276">
        <f>ROUND(M28+M31+M80,5)</f>
        <v>229474.58</v>
      </c>
      <c r="N81" s="274"/>
      <c r="O81" s="276">
        <f>ROUND(O28+O31+O80,5)</f>
        <v>272355.69</v>
      </c>
      <c r="P81" s="274"/>
      <c r="Q81" s="276">
        <f>ROUND(Q28+Q31+Q80,5)</f>
        <v>228564.42</v>
      </c>
      <c r="R81" s="274"/>
      <c r="S81" s="276">
        <f>ROUND(S28+S31+S80,5)</f>
        <v>307323.01</v>
      </c>
      <c r="T81" s="274"/>
      <c r="U81" s="276">
        <f>ROUND(U28+U31+U80,5)</f>
        <v>268428.71999999997</v>
      </c>
      <c r="V81" s="274"/>
      <c r="W81" s="276">
        <f>ROUND(W28+W31+W80,5)</f>
        <v>310057.32</v>
      </c>
      <c r="X81" s="274"/>
      <c r="Y81" s="276">
        <f>ROUND(Y28+Y31+Y80,5)</f>
        <v>322242.95</v>
      </c>
      <c r="Z81" s="274"/>
      <c r="AA81" s="276">
        <f>ROUND(AA28+AA31+AA80,5)</f>
        <v>351797.94</v>
      </c>
      <c r="AB81" s="274"/>
      <c r="AC81" s="276">
        <f>ROUND(AC28+AC31+AC80,5)</f>
        <v>306299.71000000002</v>
      </c>
      <c r="AD81" s="360"/>
    </row>
    <row r="82" spans="1:31" x14ac:dyDescent="0.25">
      <c r="A82" s="369"/>
      <c r="B82" s="369" t="s">
        <v>265</v>
      </c>
      <c r="C82" s="369"/>
      <c r="D82" s="369"/>
      <c r="E82" s="369"/>
      <c r="F82" s="369"/>
      <c r="G82" s="366">
        <f>ROUND(G27+G81,5)</f>
        <v>181986.33</v>
      </c>
      <c r="H82" s="274"/>
      <c r="I82" s="366">
        <f>ROUND(I27+I81,5)</f>
        <v>201087.81</v>
      </c>
      <c r="J82" s="274"/>
      <c r="K82" s="366">
        <f>ROUND(K27+K81,5)</f>
        <v>234081.13</v>
      </c>
      <c r="L82" s="274"/>
      <c r="M82" s="366">
        <f>ROUND(M27+M81,5)</f>
        <v>229474.58</v>
      </c>
      <c r="N82" s="274"/>
      <c r="O82" s="366">
        <f>ROUND(O27+O81,5)</f>
        <v>272355.69</v>
      </c>
      <c r="P82" s="274"/>
      <c r="Q82" s="366">
        <f>ROUND(Q27+Q81,5)</f>
        <v>228564.42</v>
      </c>
      <c r="R82" s="274"/>
      <c r="S82" s="366">
        <f>ROUND(S27+S81,5)</f>
        <v>307323.01</v>
      </c>
      <c r="T82" s="274"/>
      <c r="U82" s="366">
        <f>ROUND(U27+U81,5)</f>
        <v>268428.71999999997</v>
      </c>
      <c r="V82" s="274"/>
      <c r="W82" s="366">
        <f>ROUND(W27+W81,5)</f>
        <v>310057.32</v>
      </c>
      <c r="X82" s="274"/>
      <c r="Y82" s="366">
        <f>ROUND(Y27+Y81,5)</f>
        <v>322242.95</v>
      </c>
      <c r="Z82" s="274"/>
      <c r="AA82" s="366">
        <f>ROUND(AA27+AA81,5)</f>
        <v>351797.94</v>
      </c>
      <c r="AB82" s="274"/>
      <c r="AC82" s="366">
        <f>ROUND(AC27+AC81,5)</f>
        <v>306299.71000000002</v>
      </c>
      <c r="AD82" s="360"/>
    </row>
    <row r="83" spans="1:31" x14ac:dyDescent="0.25">
      <c r="A83" s="369"/>
      <c r="B83" s="369" t="s">
        <v>266</v>
      </c>
      <c r="C83" s="369"/>
      <c r="D83" s="369"/>
      <c r="E83" s="369"/>
      <c r="F83" s="369"/>
      <c r="G83" s="366"/>
      <c r="H83" s="274"/>
      <c r="I83" s="366"/>
      <c r="J83" s="274"/>
      <c r="K83" s="366"/>
      <c r="L83" s="274"/>
      <c r="M83" s="366"/>
      <c r="N83" s="274"/>
      <c r="O83" s="366"/>
      <c r="P83" s="274"/>
      <c r="Q83" s="366"/>
      <c r="R83" s="274"/>
      <c r="S83" s="366"/>
      <c r="T83" s="274"/>
      <c r="U83" s="366"/>
      <c r="V83" s="274"/>
      <c r="W83" s="366"/>
      <c r="X83" s="274"/>
      <c r="Y83" s="366"/>
      <c r="Z83" s="274"/>
      <c r="AA83" s="366"/>
      <c r="AB83" s="274"/>
      <c r="AC83" s="366"/>
      <c r="AD83" s="360"/>
    </row>
    <row r="84" spans="1:31" x14ac:dyDescent="0.25">
      <c r="A84" s="369"/>
      <c r="B84" s="369"/>
      <c r="C84" s="369" t="s">
        <v>267</v>
      </c>
      <c r="D84" s="369"/>
      <c r="E84" s="369"/>
      <c r="F84" s="369"/>
      <c r="G84" s="366">
        <v>66695.149999999994</v>
      </c>
      <c r="H84" s="274"/>
      <c r="I84" s="366">
        <v>74593.58</v>
      </c>
      <c r="J84" s="274"/>
      <c r="K84" s="366">
        <v>87457.97</v>
      </c>
      <c r="L84" s="274"/>
      <c r="M84" s="366">
        <v>26251.58</v>
      </c>
      <c r="N84" s="274"/>
      <c r="O84" s="366">
        <v>10059.86</v>
      </c>
      <c r="P84" s="274"/>
      <c r="Q84" s="366">
        <v>13043.44</v>
      </c>
      <c r="R84" s="274"/>
      <c r="S84" s="366">
        <v>10732.63</v>
      </c>
      <c r="T84" s="274"/>
      <c r="U84" s="366">
        <v>1754.2</v>
      </c>
      <c r="V84" s="274"/>
      <c r="W84" s="366">
        <v>40027.99</v>
      </c>
      <c r="X84" s="274"/>
      <c r="Y84" s="366">
        <v>-33806.53</v>
      </c>
      <c r="Z84" s="274"/>
      <c r="AA84" s="366">
        <v>-26046.32</v>
      </c>
      <c r="AB84" s="274"/>
      <c r="AC84" s="366">
        <v>-18560.71</v>
      </c>
      <c r="AD84" s="360"/>
    </row>
    <row r="85" spans="1:31" x14ac:dyDescent="0.25">
      <c r="A85" s="369"/>
      <c r="B85" s="369"/>
      <c r="C85" s="369" t="s">
        <v>404</v>
      </c>
      <c r="D85" s="369"/>
      <c r="E85" s="369"/>
      <c r="F85" s="369"/>
      <c r="G85" s="366"/>
      <c r="H85" s="274"/>
      <c r="I85" s="366"/>
      <c r="J85" s="274"/>
      <c r="K85" s="366"/>
      <c r="L85" s="274"/>
      <c r="M85" s="366"/>
      <c r="N85" s="274"/>
      <c r="O85" s="366"/>
      <c r="P85" s="274"/>
      <c r="Q85" s="366"/>
      <c r="R85" s="274"/>
      <c r="S85" s="366"/>
      <c r="T85" s="274"/>
      <c r="U85" s="366"/>
      <c r="V85" s="274"/>
      <c r="W85" s="366"/>
      <c r="X85" s="274"/>
      <c r="Y85" s="366"/>
      <c r="Z85" s="274"/>
      <c r="AA85" s="366"/>
      <c r="AB85" s="274"/>
      <c r="AC85" s="366"/>
      <c r="AD85" s="360"/>
    </row>
    <row r="86" spans="1:31" x14ac:dyDescent="0.25">
      <c r="A86" s="369"/>
      <c r="B86" s="369"/>
      <c r="C86" s="369"/>
      <c r="D86" s="369" t="s">
        <v>405</v>
      </c>
      <c r="E86" s="369"/>
      <c r="F86" s="369"/>
      <c r="G86" s="366">
        <v>39047.230000000003</v>
      </c>
      <c r="H86" s="274"/>
      <c r="I86" s="366">
        <v>39047.230000000003</v>
      </c>
      <c r="J86" s="274"/>
      <c r="K86" s="366">
        <v>39047.230000000003</v>
      </c>
      <c r="L86" s="274"/>
      <c r="M86" s="366">
        <v>39047.230000000003</v>
      </c>
      <c r="N86" s="274"/>
      <c r="O86" s="366">
        <v>39047.230000000003</v>
      </c>
      <c r="P86" s="274"/>
      <c r="Q86" s="366">
        <v>39047.230000000003</v>
      </c>
      <c r="R86" s="274"/>
      <c r="S86" s="366">
        <v>39047.230000000003</v>
      </c>
      <c r="T86" s="274"/>
      <c r="U86" s="366">
        <v>39047.230000000003</v>
      </c>
      <c r="V86" s="274"/>
      <c r="W86" s="366">
        <v>39047.230000000003</v>
      </c>
      <c r="X86" s="274"/>
      <c r="Y86" s="366">
        <v>39047.230000000003</v>
      </c>
      <c r="Z86" s="274"/>
      <c r="AA86" s="366">
        <v>39047.230000000003</v>
      </c>
      <c r="AB86" s="274"/>
      <c r="AC86" s="366">
        <v>39047.230000000003</v>
      </c>
      <c r="AD86" s="300"/>
    </row>
    <row r="87" spans="1:31" ht="15.75" thickBot="1" x14ac:dyDescent="0.3">
      <c r="A87" s="369"/>
      <c r="B87" s="369"/>
      <c r="C87" s="369"/>
      <c r="D87" s="369" t="s">
        <v>406</v>
      </c>
      <c r="E87" s="369"/>
      <c r="F87" s="369"/>
      <c r="G87" s="275">
        <v>8221.7999999999993</v>
      </c>
      <c r="H87" s="274"/>
      <c r="I87" s="275">
        <v>8221.7999999999993</v>
      </c>
      <c r="J87" s="274"/>
      <c r="K87" s="275">
        <v>8221.7999999999993</v>
      </c>
      <c r="L87" s="274"/>
      <c r="M87" s="275">
        <v>8221.7999999999993</v>
      </c>
      <c r="N87" s="274"/>
      <c r="O87" s="275">
        <v>8221.7999999999993</v>
      </c>
      <c r="P87" s="274"/>
      <c r="Q87" s="275">
        <v>8221.7999999999993</v>
      </c>
      <c r="R87" s="274"/>
      <c r="S87" s="275">
        <v>8221.7999999999993</v>
      </c>
      <c r="T87" s="274"/>
      <c r="U87" s="275">
        <v>8221.7999999999993</v>
      </c>
      <c r="V87" s="274"/>
      <c r="W87" s="275">
        <v>8221.7999999999993</v>
      </c>
      <c r="X87" s="274"/>
      <c r="Y87" s="275">
        <v>8221.7999999999993</v>
      </c>
      <c r="Z87" s="274"/>
      <c r="AA87" s="275">
        <v>8221.7999999999993</v>
      </c>
      <c r="AB87" s="274"/>
      <c r="AC87" s="275">
        <v>8221.7999999999993</v>
      </c>
      <c r="AD87" s="360"/>
    </row>
    <row r="88" spans="1:31" x14ac:dyDescent="0.25">
      <c r="A88" s="369"/>
      <c r="B88" s="369"/>
      <c r="C88" s="369" t="s">
        <v>407</v>
      </c>
      <c r="D88" s="369"/>
      <c r="E88" s="369"/>
      <c r="F88" s="369"/>
      <c r="G88" s="366">
        <f>ROUND(SUM(G85:G87),5)</f>
        <v>47269.03</v>
      </c>
      <c r="H88" s="274"/>
      <c r="I88" s="366">
        <f>ROUND(SUM(I85:I87),5)</f>
        <v>47269.03</v>
      </c>
      <c r="J88" s="274"/>
      <c r="K88" s="366">
        <f>ROUND(SUM(K85:K87),5)</f>
        <v>47269.03</v>
      </c>
      <c r="L88" s="274"/>
      <c r="M88" s="366">
        <f>ROUND(SUM(M85:M87),5)</f>
        <v>47269.03</v>
      </c>
      <c r="N88" s="274"/>
      <c r="O88" s="366">
        <f>ROUND(SUM(O85:O87),5)</f>
        <v>47269.03</v>
      </c>
      <c r="P88" s="274"/>
      <c r="Q88" s="366">
        <f>ROUND(SUM(Q85:Q87),5)</f>
        <v>47269.03</v>
      </c>
      <c r="R88" s="274"/>
      <c r="S88" s="366">
        <f>ROUND(SUM(S85:S87),5)</f>
        <v>47269.03</v>
      </c>
      <c r="T88" s="274"/>
      <c r="U88" s="366">
        <f>ROUND(SUM(U85:U87),5)</f>
        <v>47269.03</v>
      </c>
      <c r="V88" s="274"/>
      <c r="W88" s="366">
        <f>ROUND(SUM(W85:W87),5)</f>
        <v>47269.03</v>
      </c>
      <c r="X88" s="274"/>
      <c r="Y88" s="366">
        <f>ROUND(SUM(Y85:Y87),5)</f>
        <v>47269.03</v>
      </c>
      <c r="Z88" s="274"/>
      <c r="AA88" s="366">
        <f>ROUND(SUM(AA85:AA87),5)</f>
        <v>47269.03</v>
      </c>
      <c r="AB88" s="274"/>
      <c r="AC88" s="366">
        <f>ROUND(SUM(AC85:AC87),5)</f>
        <v>47269.03</v>
      </c>
      <c r="AD88" s="360"/>
    </row>
    <row r="89" spans="1:31" x14ac:dyDescent="0.25">
      <c r="A89" s="369"/>
      <c r="B89" s="369"/>
      <c r="C89" s="369" t="s">
        <v>408</v>
      </c>
      <c r="D89" s="369"/>
      <c r="E89" s="369"/>
      <c r="F89" s="369"/>
      <c r="G89" s="366"/>
      <c r="H89" s="274"/>
      <c r="I89" s="366"/>
      <c r="J89" s="274"/>
      <c r="K89" s="366"/>
      <c r="L89" s="274"/>
      <c r="M89" s="366"/>
      <c r="N89" s="274"/>
      <c r="O89" s="366"/>
      <c r="P89" s="274"/>
      <c r="Q89" s="366"/>
      <c r="R89" s="274"/>
      <c r="S89" s="366"/>
      <c r="T89" s="274"/>
      <c r="U89" s="366"/>
      <c r="V89" s="274"/>
      <c r="W89" s="366"/>
      <c r="X89" s="274"/>
      <c r="Y89" s="366"/>
      <c r="Z89" s="274"/>
      <c r="AA89" s="366"/>
      <c r="AB89" s="274"/>
      <c r="AC89" s="366"/>
      <c r="AD89" s="360"/>
    </row>
    <row r="90" spans="1:31" x14ac:dyDescent="0.25">
      <c r="A90" s="369"/>
      <c r="B90" s="369"/>
      <c r="C90" s="369"/>
      <c r="D90" s="369" t="s">
        <v>409</v>
      </c>
      <c r="E90" s="369"/>
      <c r="F90" s="369"/>
      <c r="G90" s="366">
        <v>72952.460000000006</v>
      </c>
      <c r="H90" s="274"/>
      <c r="I90" s="366">
        <v>67694.740000000005</v>
      </c>
      <c r="J90" s="274"/>
      <c r="K90" s="366">
        <v>56584.81</v>
      </c>
      <c r="L90" s="274"/>
      <c r="M90" s="366">
        <v>50774.17</v>
      </c>
      <c r="N90" s="274"/>
      <c r="O90" s="366">
        <v>76165.08</v>
      </c>
      <c r="P90" s="274"/>
      <c r="Q90" s="366">
        <v>75917.39</v>
      </c>
      <c r="R90" s="274"/>
      <c r="S90" s="366">
        <v>82128.95</v>
      </c>
      <c r="T90" s="274"/>
      <c r="U90" s="366">
        <v>91290.99</v>
      </c>
      <c r="V90" s="274"/>
      <c r="W90" s="366">
        <v>54260.61</v>
      </c>
      <c r="X90" s="274"/>
      <c r="Y90" s="366">
        <v>52404.3</v>
      </c>
      <c r="Z90" s="274"/>
      <c r="AA90" s="366">
        <v>44644.09</v>
      </c>
      <c r="AB90" s="274"/>
      <c r="AC90" s="366">
        <v>37158.480000000003</v>
      </c>
      <c r="AD90" s="360"/>
      <c r="AE90" s="300"/>
    </row>
    <row r="91" spans="1:31" x14ac:dyDescent="0.25">
      <c r="A91" s="369"/>
      <c r="B91" s="369"/>
      <c r="C91" s="369"/>
      <c r="D91" s="369" t="s">
        <v>410</v>
      </c>
      <c r="E91" s="369"/>
      <c r="F91" s="369"/>
      <c r="G91" s="366">
        <v>0</v>
      </c>
      <c r="H91" s="274"/>
      <c r="I91" s="366">
        <v>0</v>
      </c>
      <c r="J91" s="274"/>
      <c r="K91" s="366">
        <v>0</v>
      </c>
      <c r="L91" s="274"/>
      <c r="M91" s="366">
        <v>0</v>
      </c>
      <c r="N91" s="274"/>
      <c r="O91" s="366">
        <v>0</v>
      </c>
      <c r="P91" s="274"/>
      <c r="Q91" s="366">
        <v>11430</v>
      </c>
      <c r="R91" s="274"/>
      <c r="S91" s="366">
        <v>0</v>
      </c>
      <c r="T91" s="274"/>
      <c r="U91" s="366">
        <v>0</v>
      </c>
      <c r="V91" s="274"/>
      <c r="W91" s="366">
        <v>0</v>
      </c>
      <c r="X91" s="274"/>
      <c r="Y91" s="366">
        <v>0</v>
      </c>
      <c r="Z91" s="274"/>
      <c r="AA91" s="366">
        <v>0</v>
      </c>
      <c r="AB91" s="274"/>
      <c r="AC91" s="366">
        <v>0</v>
      </c>
      <c r="AD91" s="360"/>
    </row>
    <row r="92" spans="1:31" x14ac:dyDescent="0.25">
      <c r="A92" s="369"/>
      <c r="B92" s="369"/>
      <c r="C92" s="369"/>
      <c r="D92" s="369" t="s">
        <v>411</v>
      </c>
      <c r="E92" s="369"/>
      <c r="F92" s="369"/>
      <c r="G92" s="366">
        <v>50512.94</v>
      </c>
      <c r="H92" s="274"/>
      <c r="I92" s="366">
        <v>44872.23</v>
      </c>
      <c r="J92" s="274"/>
      <c r="K92" s="366">
        <v>43117.77</v>
      </c>
      <c r="L92" s="274"/>
      <c r="M92" s="366">
        <v>110134.8</v>
      </c>
      <c r="N92" s="274"/>
      <c r="O92" s="366">
        <v>103935.61</v>
      </c>
      <c r="P92" s="274"/>
      <c r="Q92" s="366">
        <v>101199.72</v>
      </c>
      <c r="R92" s="274"/>
      <c r="S92" s="366">
        <v>97298.97</v>
      </c>
      <c r="T92" s="274"/>
      <c r="U92" s="366">
        <v>97115.36</v>
      </c>
      <c r="V92" s="274"/>
      <c r="W92" s="366">
        <v>95871.95</v>
      </c>
      <c r="X92" s="274"/>
      <c r="Y92" s="366">
        <v>95871.95</v>
      </c>
      <c r="Z92" s="274"/>
      <c r="AA92" s="366">
        <v>95871.95</v>
      </c>
      <c r="AB92" s="274"/>
      <c r="AC92" s="366">
        <v>95871.95</v>
      </c>
      <c r="AD92" s="360"/>
    </row>
    <row r="93" spans="1:31" x14ac:dyDescent="0.25">
      <c r="A93" s="369"/>
      <c r="B93" s="369"/>
      <c r="C93" s="369"/>
      <c r="D93" s="369" t="s">
        <v>412</v>
      </c>
      <c r="E93" s="369"/>
      <c r="F93" s="369"/>
      <c r="G93" s="366"/>
      <c r="H93" s="274"/>
      <c r="I93" s="366"/>
      <c r="J93" s="274"/>
      <c r="K93" s="366"/>
      <c r="L93" s="274"/>
      <c r="M93" s="366"/>
      <c r="N93" s="274"/>
      <c r="O93" s="366"/>
      <c r="P93" s="274"/>
      <c r="Q93" s="366"/>
      <c r="R93" s="274"/>
      <c r="S93" s="366"/>
      <c r="T93" s="274"/>
      <c r="U93" s="366"/>
      <c r="V93" s="274"/>
      <c r="W93" s="366"/>
      <c r="X93" s="274"/>
      <c r="Y93" s="366"/>
      <c r="Z93" s="274"/>
      <c r="AA93" s="366"/>
      <c r="AB93" s="274"/>
      <c r="AC93" s="366"/>
      <c r="AD93" s="104"/>
    </row>
    <row r="94" spans="1:31" x14ac:dyDescent="0.25">
      <c r="A94" s="369"/>
      <c r="B94" s="369"/>
      <c r="C94" s="369"/>
      <c r="D94" s="369"/>
      <c r="E94" s="369" t="s">
        <v>413</v>
      </c>
      <c r="F94" s="369"/>
      <c r="G94" s="366">
        <v>92540.94</v>
      </c>
      <c r="H94" s="274"/>
      <c r="I94" s="366">
        <v>92540.94</v>
      </c>
      <c r="J94" s="274"/>
      <c r="K94" s="366">
        <v>92540.94</v>
      </c>
      <c r="L94" s="274"/>
      <c r="M94" s="366">
        <v>92540.94</v>
      </c>
      <c r="N94" s="274"/>
      <c r="O94" s="366">
        <v>92540.94</v>
      </c>
      <c r="P94" s="274"/>
      <c r="Q94" s="366">
        <v>92540.94</v>
      </c>
      <c r="R94" s="274"/>
      <c r="S94" s="366">
        <v>92540.94</v>
      </c>
      <c r="T94" s="274"/>
      <c r="U94" s="366">
        <v>92540.94</v>
      </c>
      <c r="V94" s="274"/>
      <c r="W94" s="366">
        <v>92540.94</v>
      </c>
      <c r="X94" s="274"/>
      <c r="Y94" s="366">
        <v>92540.94</v>
      </c>
      <c r="Z94" s="274"/>
      <c r="AA94" s="366">
        <v>92540.94</v>
      </c>
      <c r="AB94" s="274"/>
      <c r="AC94" s="366">
        <v>92540.94</v>
      </c>
      <c r="AD94" s="360"/>
    </row>
    <row r="95" spans="1:31" x14ac:dyDescent="0.25">
      <c r="A95" s="369"/>
      <c r="B95" s="369"/>
      <c r="C95" s="369"/>
      <c r="D95" s="369"/>
      <c r="E95" s="369" t="s">
        <v>414</v>
      </c>
      <c r="F95" s="369"/>
      <c r="G95" s="366">
        <v>-88891.21</v>
      </c>
      <c r="H95" s="274"/>
      <c r="I95" s="366">
        <v>-88891.21</v>
      </c>
      <c r="J95" s="274"/>
      <c r="K95" s="366">
        <v>-88891.21</v>
      </c>
      <c r="L95" s="274"/>
      <c r="M95" s="366">
        <v>-88891.21</v>
      </c>
      <c r="N95" s="274"/>
      <c r="O95" s="366">
        <v>-88891.21</v>
      </c>
      <c r="P95" s="274"/>
      <c r="Q95" s="366">
        <v>-88891.21</v>
      </c>
      <c r="R95" s="274"/>
      <c r="S95" s="366">
        <v>-88891.21</v>
      </c>
      <c r="T95" s="274"/>
      <c r="U95" s="366">
        <v>-88891.21</v>
      </c>
      <c r="V95" s="274"/>
      <c r="W95" s="366">
        <v>-88891.21</v>
      </c>
      <c r="X95" s="274"/>
      <c r="Y95" s="366">
        <v>-88891.21</v>
      </c>
      <c r="Z95" s="274"/>
      <c r="AA95" s="366">
        <v>-88891.21</v>
      </c>
      <c r="AB95" s="274"/>
      <c r="AC95" s="366">
        <v>-88891.21</v>
      </c>
      <c r="AD95" s="360"/>
    </row>
    <row r="96" spans="1:31" ht="15.75" thickBot="1" x14ac:dyDescent="0.3">
      <c r="A96" s="369"/>
      <c r="B96" s="369"/>
      <c r="C96" s="369"/>
      <c r="D96" s="369"/>
      <c r="E96" s="369" t="s">
        <v>415</v>
      </c>
      <c r="F96" s="369"/>
      <c r="G96" s="275">
        <v>-3649.73</v>
      </c>
      <c r="H96" s="274"/>
      <c r="I96" s="275">
        <v>-3649.73</v>
      </c>
      <c r="J96" s="274"/>
      <c r="K96" s="275">
        <v>-3649.73</v>
      </c>
      <c r="L96" s="274"/>
      <c r="M96" s="275">
        <v>-3649.73</v>
      </c>
      <c r="N96" s="274"/>
      <c r="O96" s="275">
        <v>-3649.73</v>
      </c>
      <c r="P96" s="274"/>
      <c r="Q96" s="275">
        <v>-3649.73</v>
      </c>
      <c r="R96" s="274"/>
      <c r="S96" s="275">
        <v>-3649.73</v>
      </c>
      <c r="T96" s="274"/>
      <c r="U96" s="275">
        <v>-3649.73</v>
      </c>
      <c r="V96" s="274"/>
      <c r="W96" s="275">
        <v>-3649.73</v>
      </c>
      <c r="X96" s="274"/>
      <c r="Y96" s="275">
        <v>-3649.73</v>
      </c>
      <c r="Z96" s="274"/>
      <c r="AA96" s="275">
        <v>-3649.73</v>
      </c>
      <c r="AB96" s="274"/>
      <c r="AC96" s="275">
        <v>-3649.73</v>
      </c>
      <c r="AD96" s="360"/>
    </row>
    <row r="97" spans="1:29" x14ac:dyDescent="0.25">
      <c r="A97" s="369"/>
      <c r="B97" s="369"/>
      <c r="C97" s="369"/>
      <c r="D97" s="369" t="s">
        <v>416</v>
      </c>
      <c r="E97" s="369"/>
      <c r="F97" s="369"/>
      <c r="G97" s="366">
        <f>ROUND(SUM(G93:G96),5)</f>
        <v>0</v>
      </c>
      <c r="H97" s="274"/>
      <c r="I97" s="366">
        <f>ROUND(SUM(I93:I96),5)</f>
        <v>0</v>
      </c>
      <c r="J97" s="274"/>
      <c r="K97" s="366">
        <f>ROUND(SUM(K93:K96),5)</f>
        <v>0</v>
      </c>
      <c r="L97" s="274"/>
      <c r="M97" s="366">
        <f>ROUND(SUM(M93:M96),5)</f>
        <v>0</v>
      </c>
      <c r="N97" s="274"/>
      <c r="O97" s="366">
        <f>ROUND(SUM(O93:O96),5)</f>
        <v>0</v>
      </c>
      <c r="P97" s="274"/>
      <c r="Q97" s="366">
        <f>ROUND(SUM(Q93:Q96),5)</f>
        <v>0</v>
      </c>
      <c r="R97" s="274"/>
      <c r="S97" s="366">
        <f>ROUND(SUM(S93:S96),5)</f>
        <v>0</v>
      </c>
      <c r="T97" s="274"/>
      <c r="U97" s="366">
        <f>ROUND(SUM(U93:U96),5)</f>
        <v>0</v>
      </c>
      <c r="V97" s="274"/>
      <c r="W97" s="366">
        <f>ROUND(SUM(W93:W96),5)</f>
        <v>0</v>
      </c>
      <c r="X97" s="274"/>
      <c r="Y97" s="366">
        <f>ROUND(SUM(Y93:Y96),5)</f>
        <v>0</v>
      </c>
      <c r="Z97" s="274"/>
      <c r="AA97" s="366">
        <f>ROUND(SUM(AA93:AA96),5)</f>
        <v>0</v>
      </c>
      <c r="AB97" s="274"/>
      <c r="AC97" s="366">
        <f>ROUND(SUM(AC93:AC96),5)</f>
        <v>0</v>
      </c>
    </row>
    <row r="98" spans="1:29" ht="15.75" thickBot="1" x14ac:dyDescent="0.3">
      <c r="A98" s="369"/>
      <c r="B98" s="369"/>
      <c r="C98" s="369"/>
      <c r="D98" s="369" t="s">
        <v>417</v>
      </c>
      <c r="E98" s="369"/>
      <c r="F98" s="369"/>
      <c r="G98" s="275">
        <v>0</v>
      </c>
      <c r="H98" s="274"/>
      <c r="I98" s="275">
        <v>3000</v>
      </c>
      <c r="J98" s="274"/>
      <c r="K98" s="275">
        <v>3000</v>
      </c>
      <c r="L98" s="274"/>
      <c r="M98" s="275">
        <v>3000</v>
      </c>
      <c r="N98" s="274"/>
      <c r="O98" s="275">
        <v>0</v>
      </c>
      <c r="P98" s="274"/>
      <c r="Q98" s="275">
        <v>0</v>
      </c>
      <c r="R98" s="274"/>
      <c r="S98" s="275">
        <v>0</v>
      </c>
      <c r="T98" s="274"/>
      <c r="U98" s="275">
        <v>0</v>
      </c>
      <c r="V98" s="274"/>
      <c r="W98" s="275">
        <v>0</v>
      </c>
      <c r="X98" s="274"/>
      <c r="Y98" s="275">
        <v>0</v>
      </c>
      <c r="Z98" s="274"/>
      <c r="AA98" s="275">
        <v>0</v>
      </c>
      <c r="AB98" s="274"/>
      <c r="AC98" s="275">
        <v>0</v>
      </c>
    </row>
    <row r="99" spans="1:29" x14ac:dyDescent="0.25">
      <c r="A99" s="369"/>
      <c r="B99" s="369"/>
      <c r="C99" s="369" t="s">
        <v>418</v>
      </c>
      <c r="D99" s="369"/>
      <c r="E99" s="369"/>
      <c r="F99" s="369"/>
      <c r="G99" s="366">
        <f>ROUND(SUM(G89:G92)+SUM(G97:G98),5)</f>
        <v>123465.4</v>
      </c>
      <c r="H99" s="274"/>
      <c r="I99" s="366">
        <f>ROUND(SUM(I89:I92)+SUM(I97:I98),5)</f>
        <v>115566.97</v>
      </c>
      <c r="J99" s="274"/>
      <c r="K99" s="366">
        <f>ROUND(SUM(K89:K92)+SUM(K97:K98),5)</f>
        <v>102702.58</v>
      </c>
      <c r="L99" s="274"/>
      <c r="M99" s="366">
        <f>ROUND(SUM(M89:M92)+SUM(M97:M98),5)</f>
        <v>163908.97</v>
      </c>
      <c r="N99" s="274"/>
      <c r="O99" s="366">
        <f>ROUND(SUM(O89:O92)+SUM(O97:O98),5)</f>
        <v>180100.69</v>
      </c>
      <c r="P99" s="274"/>
      <c r="Q99" s="366">
        <f>ROUND(SUM(Q89:Q92)+SUM(Q97:Q98),5)</f>
        <v>188547.11</v>
      </c>
      <c r="R99" s="274"/>
      <c r="S99" s="366">
        <f>ROUND(SUM(S89:S92)+SUM(S97:S98),5)</f>
        <v>179427.92</v>
      </c>
      <c r="T99" s="274"/>
      <c r="U99" s="366">
        <f>ROUND(SUM(U89:U92)+SUM(U97:U98),5)</f>
        <v>188406.35</v>
      </c>
      <c r="V99" s="274"/>
      <c r="W99" s="366">
        <f>ROUND(SUM(W89:W92)+SUM(W97:W98),5)</f>
        <v>150132.56</v>
      </c>
      <c r="X99" s="274"/>
      <c r="Y99" s="366">
        <f>ROUND(SUM(Y89:Y92)+SUM(Y97:Y98),5)</f>
        <v>148276.25</v>
      </c>
      <c r="Z99" s="274"/>
      <c r="AA99" s="366">
        <f>ROUND(SUM(AA89:AA92)+SUM(AA97:AA98),5)</f>
        <v>140516.04</v>
      </c>
      <c r="AB99" s="274"/>
      <c r="AC99" s="366">
        <f>ROUND(SUM(AC89:AC92)+SUM(AC97:AC98),5)</f>
        <v>133030.43</v>
      </c>
    </row>
    <row r="100" spans="1:29" ht="15.75" thickBot="1" x14ac:dyDescent="0.3">
      <c r="A100" s="369"/>
      <c r="B100" s="369"/>
      <c r="C100" s="369" t="s">
        <v>160</v>
      </c>
      <c r="D100" s="369"/>
      <c r="E100" s="369"/>
      <c r="F100" s="369"/>
      <c r="G100" s="365">
        <v>-104440.88</v>
      </c>
      <c r="H100" s="274"/>
      <c r="I100" s="365">
        <v>-127852.68</v>
      </c>
      <c r="J100" s="274"/>
      <c r="K100" s="365">
        <v>-120571.66</v>
      </c>
      <c r="L100" s="274"/>
      <c r="M100" s="365">
        <v>-56594.17</v>
      </c>
      <c r="N100" s="274"/>
      <c r="O100" s="365">
        <v>-54158.11</v>
      </c>
      <c r="P100" s="274"/>
      <c r="Q100" s="365">
        <v>-67906.55</v>
      </c>
      <c r="R100" s="274"/>
      <c r="S100" s="365">
        <v>-58725.61</v>
      </c>
      <c r="T100" s="274"/>
      <c r="U100" s="365">
        <v>-62430.45</v>
      </c>
      <c r="V100" s="274"/>
      <c r="W100" s="365">
        <v>-75690.83</v>
      </c>
      <c r="X100" s="274"/>
      <c r="Y100" s="365">
        <v>-4426.28</v>
      </c>
      <c r="Z100" s="274"/>
      <c r="AA100" s="365">
        <v>55692.75</v>
      </c>
      <c r="AB100" s="274"/>
      <c r="AC100" s="365">
        <v>35533.919999999998</v>
      </c>
    </row>
    <row r="101" spans="1:29" ht="15.75" thickBot="1" x14ac:dyDescent="0.3">
      <c r="A101" s="369"/>
      <c r="B101" s="369" t="s">
        <v>273</v>
      </c>
      <c r="C101" s="369"/>
      <c r="D101" s="369"/>
      <c r="E101" s="369"/>
      <c r="F101" s="369"/>
      <c r="G101" s="277">
        <f>ROUND(SUM(G83:G84)+G88+SUM(G99:G100),5)</f>
        <v>132988.70000000001</v>
      </c>
      <c r="H101" s="274"/>
      <c r="I101" s="277">
        <f>ROUND(SUM(I83:I84)+I88+SUM(I99:I100),5)</f>
        <v>109576.9</v>
      </c>
      <c r="J101" s="274"/>
      <c r="K101" s="277">
        <f>ROUND(SUM(K83:K84)+K88+SUM(K99:K100),5)</f>
        <v>116857.92</v>
      </c>
      <c r="L101" s="274"/>
      <c r="M101" s="277">
        <f>ROUND(SUM(M83:M84)+M88+SUM(M99:M100),5)</f>
        <v>180835.41</v>
      </c>
      <c r="N101" s="274"/>
      <c r="O101" s="277">
        <f>ROUND(SUM(O83:O84)+O88+SUM(O99:O100),5)</f>
        <v>183271.47</v>
      </c>
      <c r="P101" s="274"/>
      <c r="Q101" s="277">
        <f>ROUND(SUM(Q83:Q84)+Q88+SUM(Q99:Q100),5)</f>
        <v>180953.03</v>
      </c>
      <c r="R101" s="274"/>
      <c r="S101" s="277">
        <f>ROUND(SUM(S83:S84)+S88+SUM(S99:S100),5)</f>
        <v>178703.97</v>
      </c>
      <c r="T101" s="274"/>
      <c r="U101" s="277">
        <f>ROUND(SUM(U83:U84)+U88+SUM(U99:U100),5)</f>
        <v>174999.13</v>
      </c>
      <c r="V101" s="274"/>
      <c r="W101" s="277">
        <f>ROUND(SUM(W83:W84)+W88+SUM(W99:W100),5)</f>
        <v>161738.75</v>
      </c>
      <c r="X101" s="274"/>
      <c r="Y101" s="277">
        <f>ROUND(SUM(Y83:Y84)+Y88+SUM(Y99:Y100),5)</f>
        <v>157312.47</v>
      </c>
      <c r="Z101" s="274"/>
      <c r="AA101" s="277">
        <f>ROUND(SUM(AA83:AA84)+AA88+SUM(AA99:AA100),5)</f>
        <v>217431.5</v>
      </c>
      <c r="AB101" s="274"/>
      <c r="AC101" s="277">
        <f>ROUND(SUM(AC83:AC84)+AC88+SUM(AC99:AC100),5)</f>
        <v>197272.67</v>
      </c>
    </row>
    <row r="102" spans="1:29" ht="15.75" thickBot="1" x14ac:dyDescent="0.3">
      <c r="A102" s="369" t="s">
        <v>274</v>
      </c>
      <c r="B102" s="369"/>
      <c r="C102" s="369"/>
      <c r="D102" s="369"/>
      <c r="E102" s="369"/>
      <c r="F102" s="369"/>
      <c r="G102" s="278">
        <f>ROUND(G26+G82+G101,5)</f>
        <v>314975.03000000003</v>
      </c>
      <c r="H102" s="369"/>
      <c r="I102" s="278">
        <f>ROUND(I26+I82+I101,5)</f>
        <v>310664.71000000002</v>
      </c>
      <c r="J102" s="369"/>
      <c r="K102" s="278">
        <f>ROUND(K26+K82+K101,5)</f>
        <v>350939.05</v>
      </c>
      <c r="L102" s="369"/>
      <c r="M102" s="278">
        <f>ROUND(M26+M82+M101,5)</f>
        <v>410309.99</v>
      </c>
      <c r="N102" s="369"/>
      <c r="O102" s="278">
        <f>ROUND(O26+O82+O101,5)</f>
        <v>455627.16</v>
      </c>
      <c r="P102" s="369"/>
      <c r="Q102" s="278">
        <f>ROUND(Q26+Q82+Q101,5)</f>
        <v>409517.45</v>
      </c>
      <c r="R102" s="369"/>
      <c r="S102" s="278">
        <f>ROUND(S26+S82+S101,5)</f>
        <v>486026.98</v>
      </c>
      <c r="T102" s="369"/>
      <c r="U102" s="278">
        <f>ROUND(U26+U82+U101,5)</f>
        <v>443427.85</v>
      </c>
      <c r="V102" s="369"/>
      <c r="W102" s="278">
        <f>ROUND(W26+W82+W101,5)</f>
        <v>471796.07</v>
      </c>
      <c r="X102" s="369"/>
      <c r="Y102" s="278">
        <f>ROUND(Y26+Y82+Y101,5)</f>
        <v>479555.42</v>
      </c>
      <c r="Z102" s="369"/>
      <c r="AA102" s="278">
        <f>ROUND(AA26+AA82+AA101,5)</f>
        <v>569229.43999999994</v>
      </c>
      <c r="AB102" s="369"/>
      <c r="AC102" s="278">
        <f>ROUND(AC26+AC82+AC101,5)</f>
        <v>503572.38</v>
      </c>
    </row>
    <row r="103" spans="1:29" ht="15.75" thickTop="1" x14ac:dyDescent="0.25"/>
  </sheetData>
  <pageMargins left="0.2" right="0.2" top="0.75" bottom="0.5" header="0.1" footer="0.3"/>
  <pageSetup scale="90" orientation="portrait" r:id="rId1"/>
  <headerFooter>
    <oddHeader>&amp;L&amp;"Arial,Bold"&amp;8 5:08 PM
 12/31/18
 Accrual Basis&amp;C&amp;"Arial,Bold"&amp;12 League of Women Voters of California Education Fund
&amp;14 Statement of Financial Position
&amp;10 As of November 30, 2018</oddHeader>
    <oddFooter>&amp;R&amp;"Arial,Bold"&amp;8 Page &amp;P of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N45"/>
  <sheetViews>
    <sheetView workbookViewId="0">
      <pane xSplit="7" ySplit="1" topLeftCell="H11" activePane="bottomRight" state="frozenSplit"/>
      <selection pane="topRight" activeCell="H1" sqref="H1"/>
      <selection pane="bottomLeft" activeCell="A2" sqref="A2"/>
      <selection pane="bottomRight" activeCell="T37" sqref="T37"/>
    </sheetView>
  </sheetViews>
  <sheetFormatPr defaultRowHeight="11.25" x14ac:dyDescent="0.2"/>
  <cols>
    <col min="1" max="6" width="2" style="361" customWidth="1"/>
    <col min="7" max="7" width="43.28515625" style="361" customWidth="1"/>
    <col min="8" max="8" width="12.28515625" style="340" bestFit="1" customWidth="1"/>
    <col min="9" max="9" width="1.85546875" style="340" customWidth="1"/>
    <col min="10" max="10" width="12.5703125" style="339" customWidth="1"/>
    <col min="11" max="11" width="1.85546875" style="340" customWidth="1"/>
    <col min="12" max="12" width="11.5703125" style="340" customWidth="1"/>
    <col min="13" max="16384" width="9.140625" style="294"/>
  </cols>
  <sheetData>
    <row r="1" spans="1:13" s="293" customFormat="1" ht="23.25" thickBot="1" x14ac:dyDescent="0.25">
      <c r="A1" s="363"/>
      <c r="B1" s="363"/>
      <c r="C1" s="363"/>
      <c r="D1" s="363"/>
      <c r="E1" s="363"/>
      <c r="F1" s="363"/>
      <c r="G1" s="363"/>
      <c r="H1" s="301" t="s">
        <v>475</v>
      </c>
      <c r="I1" s="290"/>
      <c r="J1" s="291" t="s">
        <v>419</v>
      </c>
      <c r="K1" s="290"/>
      <c r="L1" s="292" t="s">
        <v>294</v>
      </c>
    </row>
    <row r="2" spans="1:13" ht="12" thickTop="1" x14ac:dyDescent="0.2">
      <c r="A2" s="369"/>
      <c r="B2" s="369" t="s">
        <v>130</v>
      </c>
      <c r="C2" s="369"/>
      <c r="D2" s="369"/>
      <c r="E2" s="369"/>
      <c r="F2" s="369"/>
      <c r="G2" s="369"/>
      <c r="H2" s="366"/>
      <c r="I2" s="338"/>
    </row>
    <row r="3" spans="1:13" ht="12.75" customHeight="1" x14ac:dyDescent="0.2">
      <c r="A3" s="369"/>
      <c r="B3" s="369"/>
      <c r="C3" s="369"/>
      <c r="D3" s="369" t="s">
        <v>131</v>
      </c>
      <c r="E3" s="369"/>
      <c r="F3" s="369"/>
      <c r="G3" s="369"/>
      <c r="H3" s="366"/>
      <c r="I3" s="338"/>
    </row>
    <row r="4" spans="1:13" ht="12.75" customHeight="1" x14ac:dyDescent="0.2">
      <c r="A4" s="369"/>
      <c r="B4" s="369"/>
      <c r="C4" s="369"/>
      <c r="D4" s="369"/>
      <c r="E4" s="369" t="s">
        <v>133</v>
      </c>
      <c r="F4" s="369"/>
      <c r="G4" s="369"/>
      <c r="H4" s="366"/>
      <c r="I4" s="338"/>
    </row>
    <row r="5" spans="1:13" ht="12.75" customHeight="1" x14ac:dyDescent="0.2">
      <c r="A5" s="369"/>
      <c r="B5" s="369"/>
      <c r="C5" s="369"/>
      <c r="D5" s="369"/>
      <c r="E5" s="369"/>
      <c r="F5" s="369" t="s">
        <v>334</v>
      </c>
      <c r="G5" s="369"/>
      <c r="H5" s="366"/>
      <c r="I5" s="338"/>
    </row>
    <row r="6" spans="1:13" x14ac:dyDescent="0.2">
      <c r="A6" s="369"/>
      <c r="B6" s="369"/>
      <c r="C6" s="369"/>
      <c r="D6" s="369"/>
      <c r="E6" s="369"/>
      <c r="F6" s="369"/>
      <c r="G6" s="369" t="s">
        <v>335</v>
      </c>
      <c r="H6" s="366">
        <v>4703.42</v>
      </c>
      <c r="I6" s="341"/>
      <c r="J6" s="350">
        <v>0</v>
      </c>
      <c r="K6" s="346"/>
      <c r="L6" s="346">
        <f t="shared" ref="L6:L12" si="0">+H6+J6</f>
        <v>4703.42</v>
      </c>
    </row>
    <row r="7" spans="1:13" ht="12" thickBot="1" x14ac:dyDescent="0.25">
      <c r="A7" s="369"/>
      <c r="B7" s="369"/>
      <c r="C7" s="369"/>
      <c r="D7" s="369"/>
      <c r="E7" s="369"/>
      <c r="F7" s="369"/>
      <c r="G7" s="369" t="s">
        <v>446</v>
      </c>
      <c r="H7" s="275">
        <v>157.5</v>
      </c>
      <c r="I7" s="341"/>
      <c r="J7" s="342">
        <v>0</v>
      </c>
      <c r="L7" s="343">
        <f t="shared" si="0"/>
        <v>157.5</v>
      </c>
    </row>
    <row r="8" spans="1:13" x14ac:dyDescent="0.2">
      <c r="A8" s="369"/>
      <c r="B8" s="369"/>
      <c r="C8" s="369"/>
      <c r="D8" s="369"/>
      <c r="E8" s="369"/>
      <c r="F8" s="369" t="s">
        <v>336</v>
      </c>
      <c r="G8" s="369"/>
      <c r="H8" s="366">
        <f>ROUND(SUM(H5:H7),5)</f>
        <v>4860.92</v>
      </c>
      <c r="I8" s="338"/>
      <c r="J8" s="366">
        <f>J6+J7</f>
        <v>0</v>
      </c>
      <c r="L8" s="346">
        <f t="shared" si="0"/>
        <v>4860.92</v>
      </c>
    </row>
    <row r="9" spans="1:13" x14ac:dyDescent="0.2">
      <c r="A9" s="369"/>
      <c r="B9" s="369"/>
      <c r="C9" s="369"/>
      <c r="D9" s="369"/>
      <c r="E9" s="369"/>
      <c r="F9" s="369" t="s">
        <v>337</v>
      </c>
      <c r="G9" s="369"/>
      <c r="H9" s="366">
        <v>0</v>
      </c>
      <c r="I9" s="338"/>
      <c r="J9" s="350">
        <v>4650</v>
      </c>
      <c r="L9" s="346">
        <f t="shared" si="0"/>
        <v>4650</v>
      </c>
    </row>
    <row r="10" spans="1:13" x14ac:dyDescent="0.2">
      <c r="A10" s="369"/>
      <c r="B10" s="369"/>
      <c r="C10" s="369"/>
      <c r="D10" s="369"/>
      <c r="E10" s="369"/>
      <c r="F10" s="369" t="s">
        <v>339</v>
      </c>
      <c r="G10" s="369"/>
      <c r="H10" s="366">
        <v>41653.879999999997</v>
      </c>
      <c r="I10" s="338"/>
      <c r="J10" s="366">
        <v>0</v>
      </c>
      <c r="L10" s="346">
        <f t="shared" si="0"/>
        <v>41653.879999999997</v>
      </c>
    </row>
    <row r="11" spans="1:13" ht="12.75" customHeight="1" x14ac:dyDescent="0.2">
      <c r="A11" s="369"/>
      <c r="B11" s="369"/>
      <c r="C11" s="369"/>
      <c r="D11" s="369"/>
      <c r="E11" s="369"/>
      <c r="F11" s="369" t="s">
        <v>340</v>
      </c>
      <c r="G11" s="369"/>
      <c r="H11" s="366">
        <v>0</v>
      </c>
      <c r="I11" s="338"/>
      <c r="J11" s="350">
        <v>2368</v>
      </c>
      <c r="K11" s="346"/>
      <c r="L11" s="346">
        <f t="shared" si="0"/>
        <v>2368</v>
      </c>
    </row>
    <row r="12" spans="1:13" ht="12.75" customHeight="1" thickBot="1" x14ac:dyDescent="0.25">
      <c r="A12" s="369"/>
      <c r="B12" s="369"/>
      <c r="C12" s="369"/>
      <c r="D12" s="369"/>
      <c r="E12" s="369"/>
      <c r="F12" s="369" t="s">
        <v>175</v>
      </c>
      <c r="G12" s="369"/>
      <c r="H12" s="275">
        <v>0</v>
      </c>
      <c r="I12" s="338"/>
      <c r="J12" s="342">
        <v>84750</v>
      </c>
      <c r="K12" s="343"/>
      <c r="L12" s="343">
        <f t="shared" si="0"/>
        <v>84750</v>
      </c>
    </row>
    <row r="13" spans="1:13" ht="12.75" customHeight="1" x14ac:dyDescent="0.2">
      <c r="A13" s="369"/>
      <c r="B13" s="369"/>
      <c r="C13" s="369"/>
      <c r="D13" s="369"/>
      <c r="E13" s="369" t="s">
        <v>176</v>
      </c>
      <c r="F13" s="369"/>
      <c r="G13" s="369"/>
      <c r="H13" s="366">
        <f>ROUND(H4+SUM(H8:H12),5)</f>
        <v>46514.8</v>
      </c>
      <c r="I13" s="338"/>
      <c r="J13" s="339">
        <f>SUM(J8:J12)</f>
        <v>91768</v>
      </c>
      <c r="L13" s="346">
        <f>+H13+J13</f>
        <v>138282.79999999999</v>
      </c>
    </row>
    <row r="14" spans="1:13" ht="12.75" customHeight="1" x14ac:dyDescent="0.2">
      <c r="A14" s="369"/>
      <c r="B14" s="369"/>
      <c r="C14" s="369"/>
      <c r="D14" s="369"/>
      <c r="E14" s="369" t="s">
        <v>341</v>
      </c>
      <c r="F14" s="369"/>
      <c r="G14" s="369"/>
      <c r="H14" s="366"/>
      <c r="I14" s="338"/>
      <c r="L14" s="346"/>
    </row>
    <row r="15" spans="1:13" ht="12.75" customHeight="1" x14ac:dyDescent="0.2">
      <c r="A15" s="369"/>
      <c r="B15" s="369"/>
      <c r="C15" s="369"/>
      <c r="D15" s="369"/>
      <c r="E15" s="369"/>
      <c r="F15" s="369" t="s">
        <v>342</v>
      </c>
      <c r="G15" s="369"/>
      <c r="H15" s="366">
        <v>17192</v>
      </c>
      <c r="I15" s="338"/>
      <c r="J15" s="365">
        <v>0</v>
      </c>
      <c r="K15" s="346"/>
      <c r="L15" s="346">
        <f>+H15+J15</f>
        <v>17192</v>
      </c>
    </row>
    <row r="16" spans="1:13" ht="12.75" customHeight="1" x14ac:dyDescent="0.2">
      <c r="A16" s="369"/>
      <c r="B16" s="369"/>
      <c r="C16" s="369"/>
      <c r="D16" s="369"/>
      <c r="E16" s="369"/>
      <c r="F16" s="369" t="s">
        <v>178</v>
      </c>
      <c r="G16" s="369"/>
      <c r="H16" s="366">
        <v>2749.81</v>
      </c>
      <c r="I16" s="338"/>
      <c r="J16" s="350">
        <v>0</v>
      </c>
      <c r="L16" s="346">
        <f t="shared" ref="L16:L18" si="1">+H16+J16</f>
        <v>2749.81</v>
      </c>
      <c r="M16" s="340"/>
    </row>
    <row r="17" spans="1:14" ht="12.75" customHeight="1" x14ac:dyDescent="0.2">
      <c r="A17" s="369"/>
      <c r="B17" s="369"/>
      <c r="C17" s="369"/>
      <c r="D17" s="369"/>
      <c r="E17" s="369"/>
      <c r="F17" s="369" t="s">
        <v>179</v>
      </c>
      <c r="G17" s="369"/>
      <c r="H17" s="366">
        <v>2678.54</v>
      </c>
      <c r="I17" s="341"/>
      <c r="J17" s="350">
        <v>0</v>
      </c>
      <c r="L17" s="346">
        <f t="shared" si="1"/>
        <v>2678.54</v>
      </c>
    </row>
    <row r="18" spans="1:14" ht="12.75" customHeight="1" thickBot="1" x14ac:dyDescent="0.25">
      <c r="A18" s="369"/>
      <c r="B18" s="369"/>
      <c r="C18" s="369"/>
      <c r="D18" s="369"/>
      <c r="E18" s="369"/>
      <c r="F18" s="369" t="s">
        <v>343</v>
      </c>
      <c r="G18" s="369"/>
      <c r="H18" s="275">
        <v>5000</v>
      </c>
      <c r="I18" s="341"/>
      <c r="J18" s="342">
        <v>0</v>
      </c>
      <c r="L18" s="343">
        <f t="shared" si="1"/>
        <v>5000</v>
      </c>
    </row>
    <row r="19" spans="1:14" x14ac:dyDescent="0.2">
      <c r="A19" s="369"/>
      <c r="B19" s="369"/>
      <c r="C19" s="369"/>
      <c r="D19" s="369"/>
      <c r="E19" s="369" t="s">
        <v>344</v>
      </c>
      <c r="F19" s="369"/>
      <c r="G19" s="369"/>
      <c r="H19" s="366">
        <f>ROUND(SUM(H14:H18),5)</f>
        <v>27620.35</v>
      </c>
      <c r="I19" s="341"/>
      <c r="J19" s="277">
        <f>SUM(J15:J18)</f>
        <v>0</v>
      </c>
      <c r="K19" s="346"/>
      <c r="L19" s="346">
        <f>+H19+J19</f>
        <v>27620.35</v>
      </c>
    </row>
    <row r="20" spans="1:14" ht="18.75" customHeight="1" x14ac:dyDescent="0.2">
      <c r="A20" s="369"/>
      <c r="B20" s="369"/>
      <c r="C20" s="369"/>
      <c r="D20" s="369"/>
      <c r="E20" s="369" t="s">
        <v>345</v>
      </c>
      <c r="F20" s="369"/>
      <c r="G20" s="369"/>
      <c r="H20" s="366">
        <v>525</v>
      </c>
      <c r="I20" s="341"/>
      <c r="J20" s="365">
        <v>0</v>
      </c>
      <c r="K20" s="346"/>
      <c r="L20" s="346">
        <f>+H20+J20</f>
        <v>525</v>
      </c>
    </row>
    <row r="21" spans="1:14" ht="12.75" customHeight="1" thickBot="1" x14ac:dyDescent="0.25">
      <c r="A21" s="369"/>
      <c r="B21" s="369"/>
      <c r="C21" s="369"/>
      <c r="D21" s="369"/>
      <c r="E21" s="369" t="s">
        <v>136</v>
      </c>
      <c r="F21" s="369"/>
      <c r="G21" s="369"/>
      <c r="H21" s="365">
        <v>421.09</v>
      </c>
      <c r="I21" s="341"/>
      <c r="J21" s="275">
        <v>0</v>
      </c>
      <c r="K21" s="346"/>
      <c r="L21" s="343">
        <f>+H21+J21</f>
        <v>421.09</v>
      </c>
    </row>
    <row r="22" spans="1:14" ht="12.75" customHeight="1" thickBot="1" x14ac:dyDescent="0.25">
      <c r="A22" s="369"/>
      <c r="B22" s="369"/>
      <c r="C22" s="369"/>
      <c r="D22" s="369" t="s">
        <v>9</v>
      </c>
      <c r="E22" s="369"/>
      <c r="F22" s="369"/>
      <c r="G22" s="369"/>
      <c r="H22" s="276">
        <f>ROUND(H3+H13+SUM(H19:H21),5)</f>
        <v>75081.240000000005</v>
      </c>
      <c r="I22" s="344"/>
      <c r="J22" s="475">
        <f>ROUND(J13+SUM(J19:J21),5)</f>
        <v>91768</v>
      </c>
      <c r="K22" s="347"/>
      <c r="L22" s="349">
        <f>+H22+J22</f>
        <v>166849.24</v>
      </c>
    </row>
    <row r="23" spans="1:14" ht="12.75" customHeight="1" thickBot="1" x14ac:dyDescent="0.25">
      <c r="A23" s="369"/>
      <c r="B23" s="369"/>
      <c r="C23" s="369"/>
      <c r="D23" s="369" t="s">
        <v>420</v>
      </c>
      <c r="E23" s="369"/>
      <c r="F23" s="369"/>
      <c r="G23" s="369"/>
      <c r="H23" s="276">
        <f>-J23</f>
        <v>69451.16</v>
      </c>
      <c r="I23" s="341"/>
      <c r="J23" s="342">
        <f>-'[2]YTD Summary Stmt of Actv.'!AE7</f>
        <v>-69451.16</v>
      </c>
      <c r="L23" s="343">
        <f>SUM(H23:J23)</f>
        <v>0</v>
      </c>
    </row>
    <row r="24" spans="1:14" ht="18" customHeight="1" x14ac:dyDescent="0.2">
      <c r="A24" s="369"/>
      <c r="B24" s="369"/>
      <c r="C24" s="369" t="s">
        <v>421</v>
      </c>
      <c r="D24" s="369"/>
      <c r="E24" s="369"/>
      <c r="F24" s="369"/>
      <c r="G24" s="369"/>
      <c r="H24" s="382">
        <f>H22+H23</f>
        <v>144532.40000000002</v>
      </c>
      <c r="I24" s="344"/>
      <c r="J24" s="344">
        <f>J22+J23</f>
        <v>22316.839999999997</v>
      </c>
      <c r="K24" s="345"/>
      <c r="L24" s="344">
        <f>L22+L23</f>
        <v>166849.24</v>
      </c>
    </row>
    <row r="25" spans="1:14" ht="13.5" customHeight="1" x14ac:dyDescent="0.2">
      <c r="A25" s="369"/>
      <c r="B25" s="369"/>
      <c r="C25" s="369"/>
      <c r="D25" s="369"/>
      <c r="E25" s="369"/>
      <c r="F25" s="369"/>
      <c r="G25" s="369"/>
      <c r="H25" s="389"/>
      <c r="I25" s="341"/>
    </row>
    <row r="26" spans="1:14" ht="13.5" customHeight="1" x14ac:dyDescent="0.2">
      <c r="A26" s="369"/>
      <c r="B26" s="369"/>
      <c r="C26" s="369"/>
      <c r="D26" s="369" t="s">
        <v>141</v>
      </c>
      <c r="E26" s="369"/>
      <c r="F26" s="369"/>
      <c r="G26" s="369"/>
      <c r="H26" s="366"/>
      <c r="I26" s="338"/>
    </row>
    <row r="27" spans="1:14" ht="13.5" customHeight="1" x14ac:dyDescent="0.2">
      <c r="A27" s="369"/>
      <c r="B27" s="369"/>
      <c r="C27" s="369"/>
      <c r="D27" s="369"/>
      <c r="E27" s="369" t="s">
        <v>426</v>
      </c>
      <c r="F27" s="369"/>
      <c r="G27" s="369"/>
      <c r="H27" s="366">
        <v>133.47</v>
      </c>
      <c r="I27" s="338"/>
      <c r="L27" s="340">
        <f t="shared" ref="L27:L38" si="2">SUM(H27:J27)</f>
        <v>133.47</v>
      </c>
    </row>
    <row r="28" spans="1:14" ht="13.5" customHeight="1" x14ac:dyDescent="0.2">
      <c r="A28" s="369"/>
      <c r="B28" s="369"/>
      <c r="C28" s="369"/>
      <c r="D28" s="369"/>
      <c r="E28" s="369" t="s">
        <v>142</v>
      </c>
      <c r="F28" s="369"/>
      <c r="G28" s="369"/>
      <c r="H28" s="366">
        <v>69930.929999999993</v>
      </c>
      <c r="I28" s="338"/>
      <c r="J28" s="366"/>
      <c r="L28" s="340">
        <f t="shared" si="2"/>
        <v>69930.929999999993</v>
      </c>
      <c r="N28" s="366"/>
    </row>
    <row r="29" spans="1:14" ht="13.5" customHeight="1" x14ac:dyDescent="0.2">
      <c r="A29" s="369"/>
      <c r="B29" s="369"/>
      <c r="C29" s="369"/>
      <c r="D29" s="369"/>
      <c r="E29" s="369" t="s">
        <v>348</v>
      </c>
      <c r="F29" s="369"/>
      <c r="G29" s="369"/>
      <c r="H29" s="366">
        <v>1068.6500000000001</v>
      </c>
      <c r="I29" s="338"/>
      <c r="J29" s="294"/>
      <c r="L29" s="340">
        <f t="shared" si="2"/>
        <v>1068.6500000000001</v>
      </c>
      <c r="N29" s="366"/>
    </row>
    <row r="30" spans="1:14" ht="13.5" customHeight="1" x14ac:dyDescent="0.2">
      <c r="A30" s="369"/>
      <c r="B30" s="369"/>
      <c r="C30" s="369"/>
      <c r="D30" s="369"/>
      <c r="E30" s="369" t="s">
        <v>147</v>
      </c>
      <c r="F30" s="369"/>
      <c r="G30" s="369"/>
      <c r="H30" s="366">
        <v>871.63</v>
      </c>
      <c r="I30" s="338"/>
      <c r="J30" s="366"/>
      <c r="L30" s="340">
        <f t="shared" si="2"/>
        <v>871.63</v>
      </c>
      <c r="N30" s="366"/>
    </row>
    <row r="31" spans="1:14" ht="13.5" customHeight="1" x14ac:dyDescent="0.2">
      <c r="A31" s="369"/>
      <c r="B31" s="369"/>
      <c r="C31" s="369"/>
      <c r="D31" s="369"/>
      <c r="E31" s="369" t="s">
        <v>148</v>
      </c>
      <c r="F31" s="369"/>
      <c r="G31" s="369"/>
      <c r="H31" s="366">
        <v>456.22</v>
      </c>
      <c r="I31" s="338"/>
      <c r="J31" s="366"/>
      <c r="L31" s="340">
        <f t="shared" si="2"/>
        <v>456.22</v>
      </c>
      <c r="N31" s="366"/>
    </row>
    <row r="32" spans="1:14" ht="13.5" customHeight="1" x14ac:dyDescent="0.2">
      <c r="A32" s="369"/>
      <c r="B32" s="369"/>
      <c r="C32" s="369"/>
      <c r="D32" s="369"/>
      <c r="E32" s="369" t="s">
        <v>149</v>
      </c>
      <c r="F32" s="369"/>
      <c r="G32" s="369"/>
      <c r="H32" s="366">
        <v>3315.48</v>
      </c>
      <c r="I32" s="338"/>
      <c r="J32" s="366"/>
      <c r="L32" s="340">
        <f t="shared" si="2"/>
        <v>3315.48</v>
      </c>
      <c r="N32" s="366"/>
    </row>
    <row r="33" spans="1:14" ht="13.5" customHeight="1" x14ac:dyDescent="0.2">
      <c r="A33" s="369"/>
      <c r="B33" s="369"/>
      <c r="C33" s="369"/>
      <c r="D33" s="369"/>
      <c r="E33" s="369" t="s">
        <v>150</v>
      </c>
      <c r="F33" s="369"/>
      <c r="G33" s="369"/>
      <c r="H33" s="366">
        <v>579.29999999999995</v>
      </c>
      <c r="I33" s="338"/>
      <c r="J33" s="366"/>
      <c r="L33" s="340">
        <f t="shared" si="2"/>
        <v>579.29999999999995</v>
      </c>
      <c r="N33" s="366"/>
    </row>
    <row r="34" spans="1:14" ht="13.5" customHeight="1" x14ac:dyDescent="0.2">
      <c r="A34" s="369"/>
      <c r="B34" s="369"/>
      <c r="C34" s="369"/>
      <c r="D34" s="369"/>
      <c r="E34" s="369" t="s">
        <v>350</v>
      </c>
      <c r="F34" s="369"/>
      <c r="G34" s="369"/>
      <c r="H34" s="366">
        <v>2812.8</v>
      </c>
      <c r="I34" s="338"/>
      <c r="J34" s="366"/>
      <c r="L34" s="340">
        <f t="shared" si="2"/>
        <v>2812.8</v>
      </c>
      <c r="N34" s="366"/>
    </row>
    <row r="35" spans="1:14" ht="13.5" customHeight="1" x14ac:dyDescent="0.2">
      <c r="A35" s="369"/>
      <c r="B35" s="369"/>
      <c r="C35" s="369"/>
      <c r="D35" s="369"/>
      <c r="E35" s="369" t="s">
        <v>154</v>
      </c>
      <c r="F35" s="369"/>
      <c r="G35" s="369"/>
      <c r="H35" s="366">
        <v>2105.84</v>
      </c>
      <c r="I35" s="338"/>
      <c r="J35" s="366"/>
      <c r="L35" s="340">
        <f t="shared" si="2"/>
        <v>2105.84</v>
      </c>
      <c r="N35" s="366"/>
    </row>
    <row r="36" spans="1:14" ht="13.5" customHeight="1" x14ac:dyDescent="0.2">
      <c r="A36" s="369"/>
      <c r="B36" s="369"/>
      <c r="C36" s="369"/>
      <c r="D36" s="369"/>
      <c r="E36" s="369" t="s">
        <v>156</v>
      </c>
      <c r="F36" s="369"/>
      <c r="G36" s="369"/>
      <c r="H36" s="366">
        <v>2345.58</v>
      </c>
      <c r="I36" s="338"/>
      <c r="J36" s="366"/>
      <c r="L36" s="340">
        <f t="shared" si="2"/>
        <v>2345.58</v>
      </c>
      <c r="N36" s="366"/>
    </row>
    <row r="37" spans="1:14" ht="13.5" customHeight="1" thickBot="1" x14ac:dyDescent="0.25">
      <c r="A37" s="369"/>
      <c r="B37" s="369"/>
      <c r="C37" s="369"/>
      <c r="D37" s="369"/>
      <c r="E37" s="369" t="s">
        <v>157</v>
      </c>
      <c r="F37" s="369"/>
      <c r="G37" s="369"/>
      <c r="H37" s="365">
        <v>47695.42</v>
      </c>
      <c r="I37" s="338"/>
      <c r="J37" s="275"/>
      <c r="L37" s="343">
        <f t="shared" si="2"/>
        <v>47695.42</v>
      </c>
      <c r="N37" s="366"/>
    </row>
    <row r="38" spans="1:14" x14ac:dyDescent="0.2">
      <c r="A38" s="369"/>
      <c r="B38" s="369"/>
      <c r="C38" s="369"/>
      <c r="D38" s="369" t="s">
        <v>56</v>
      </c>
      <c r="E38" s="369"/>
      <c r="F38" s="369"/>
      <c r="G38" s="369"/>
      <c r="H38" s="277">
        <f>ROUND(SUM(H26:H37),5)</f>
        <v>131315.32</v>
      </c>
      <c r="I38" s="338"/>
      <c r="J38" s="366">
        <f>SUM(J27:J37)</f>
        <v>0</v>
      </c>
      <c r="L38" s="340">
        <f t="shared" si="2"/>
        <v>131315.32</v>
      </c>
      <c r="N38" s="366"/>
    </row>
    <row r="39" spans="1:14" x14ac:dyDescent="0.2">
      <c r="A39" s="369"/>
      <c r="B39" s="369"/>
      <c r="C39" s="369"/>
      <c r="D39" s="369"/>
      <c r="E39" s="369"/>
      <c r="F39" s="369" t="s">
        <v>422</v>
      </c>
      <c r="G39" s="369"/>
      <c r="H39" s="382">
        <f>H24-H38</f>
        <v>13217.080000000016</v>
      </c>
      <c r="I39" s="344"/>
      <c r="J39" s="344">
        <f>J24-J38</f>
        <v>22316.839999999997</v>
      </c>
      <c r="K39" s="347"/>
      <c r="L39" s="344">
        <f>L24-L38</f>
        <v>35533.919999999984</v>
      </c>
    </row>
    <row r="40" spans="1:14" x14ac:dyDescent="0.2">
      <c r="A40" s="614" t="s">
        <v>423</v>
      </c>
      <c r="B40" s="614"/>
      <c r="C40" s="614"/>
      <c r="D40" s="614"/>
      <c r="E40" s="614"/>
      <c r="F40" s="614"/>
      <c r="G40" s="615"/>
      <c r="H40" s="383">
        <v>0</v>
      </c>
      <c r="J40" s="339">
        <v>0</v>
      </c>
      <c r="L40" s="344">
        <f>SUM(H40:J40)</f>
        <v>0</v>
      </c>
    </row>
    <row r="41" spans="1:14" x14ac:dyDescent="0.2">
      <c r="C41" s="369" t="s">
        <v>424</v>
      </c>
      <c r="H41" s="382">
        <f>'[2]YTD Summary Stmt of Actv.'!V13</f>
        <v>11606</v>
      </c>
      <c r="I41" s="347"/>
      <c r="J41" s="344">
        <f>'[2]YTD Summary Stmt of Actv.'!AE13</f>
        <v>150133</v>
      </c>
      <c r="K41" s="347"/>
      <c r="L41" s="347">
        <f>SUM(H41:J41)</f>
        <v>161739</v>
      </c>
    </row>
    <row r="42" spans="1:14" ht="12" thickBot="1" x14ac:dyDescent="0.25">
      <c r="A42" s="616" t="s">
        <v>457</v>
      </c>
      <c r="B42" s="616"/>
      <c r="C42" s="616"/>
      <c r="D42" s="616"/>
      <c r="E42" s="616"/>
      <c r="F42" s="616"/>
      <c r="G42" s="617"/>
      <c r="H42" s="476">
        <v>0</v>
      </c>
      <c r="I42" s="343"/>
      <c r="J42" s="342">
        <f>'[2]YTD Summary Stmt of Actv.'!AE11</f>
        <v>0</v>
      </c>
      <c r="K42" s="343"/>
      <c r="L42" s="348">
        <f>SUM(H42:J42)</f>
        <v>0</v>
      </c>
    </row>
    <row r="43" spans="1:14" x14ac:dyDescent="0.2">
      <c r="C43" s="369"/>
      <c r="H43" s="382"/>
      <c r="I43" s="345"/>
      <c r="J43" s="344"/>
      <c r="K43" s="345"/>
      <c r="L43" s="347"/>
    </row>
    <row r="44" spans="1:14" ht="12" thickBot="1" x14ac:dyDescent="0.25">
      <c r="C44" s="361" t="s">
        <v>425</v>
      </c>
      <c r="H44" s="384">
        <f>SUM(H39:H42)</f>
        <v>24823.080000000016</v>
      </c>
      <c r="I44" s="345"/>
      <c r="J44" s="371">
        <f>SUM(J39:J42)</f>
        <v>172449.84</v>
      </c>
      <c r="K44" s="345"/>
      <c r="L44" s="371">
        <f>SUM(L39:L42)</f>
        <v>197272.91999999998</v>
      </c>
    </row>
    <row r="45" spans="1:14" ht="12" thickTop="1" x14ac:dyDescent="0.2">
      <c r="H45" s="385"/>
    </row>
  </sheetData>
  <mergeCells count="2">
    <mergeCell ref="A40:G40"/>
    <mergeCell ref="A42:G42"/>
  </mergeCells>
  <pageMargins left="0.45" right="0.45" top="0.85" bottom="0" header="0.1" footer="0.3"/>
  <pageSetup scale="85" orientation="portrait" horizontalDpi="4294967293" verticalDpi="4294967293" r:id="rId1"/>
  <headerFooter>
    <oddHeader xml:space="preserve">&amp;C&amp;"Arial,Bold"&amp;12 League of Women Voters of California Education Fund
&amp;14 Statement of Activities
&amp;9July - January 2019&amp;10
</oddHeader>
    <oddFooter>&amp;R&amp;"Arial,Bold"&amp;8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02"/>
  <sheetViews>
    <sheetView topLeftCell="A10" zoomScaleNormal="100" workbookViewId="0">
      <selection activeCell="I50" sqref="I50"/>
    </sheetView>
  </sheetViews>
  <sheetFormatPr defaultRowHeight="15" x14ac:dyDescent="0.25"/>
  <cols>
    <col min="1" max="1" width="33.140625" style="360" customWidth="1"/>
    <col min="2" max="2" width="11.85546875" style="360" customWidth="1"/>
    <col min="3" max="3" width="14" style="360" customWidth="1"/>
    <col min="4" max="4" width="15.28515625" style="360" customWidth="1"/>
    <col min="5" max="5" width="10.7109375" style="360" customWidth="1"/>
    <col min="6" max="6" width="14.42578125" style="360" customWidth="1"/>
    <col min="7" max="7" width="13" style="360" customWidth="1"/>
    <col min="8" max="8" width="11.140625" style="360" customWidth="1"/>
    <col min="9" max="9" width="14" style="360" customWidth="1"/>
    <col min="10" max="10" width="11.140625" style="360" customWidth="1"/>
    <col min="11" max="11" width="14.5703125" style="360" customWidth="1"/>
    <col min="12" max="12" width="12.5703125" style="360" bestFit="1" customWidth="1"/>
    <col min="13" max="13" width="10.28515625" style="360" customWidth="1"/>
    <col min="14" max="15" width="12.140625" style="360" customWidth="1"/>
    <col min="16" max="18" width="11.85546875" style="360" customWidth="1"/>
    <col min="19" max="20" width="9.140625" style="360"/>
    <col min="21" max="21" width="11.42578125" style="360" customWidth="1"/>
    <col min="22" max="22" width="13.28515625" style="360" customWidth="1"/>
    <col min="23" max="23" width="13.7109375" style="360" customWidth="1"/>
    <col min="24" max="16384" width="9.140625" style="360"/>
  </cols>
  <sheetData>
    <row r="1" spans="1:22" x14ac:dyDescent="0.25">
      <c r="A1" s="86" t="s">
        <v>51</v>
      </c>
      <c r="B1" s="414" t="s">
        <v>456</v>
      </c>
      <c r="C1" s="414"/>
    </row>
    <row r="2" spans="1:22" ht="15.75" thickBot="1" x14ac:dyDescent="0.3">
      <c r="A2" s="8" t="s">
        <v>481</v>
      </c>
      <c r="B2" s="5"/>
      <c r="C2" s="5"/>
      <c r="D2" s="5"/>
      <c r="E2" s="5"/>
      <c r="F2" s="5"/>
    </row>
    <row r="3" spans="1:22" ht="30.75" thickBot="1" x14ac:dyDescent="0.3">
      <c r="A3" s="10" t="s">
        <v>52</v>
      </c>
      <c r="B3" s="256" t="s">
        <v>48</v>
      </c>
      <c r="C3" s="255" t="s">
        <v>53</v>
      </c>
      <c r="D3" s="254" t="s">
        <v>54</v>
      </c>
      <c r="E3" s="12" t="s">
        <v>55</v>
      </c>
      <c r="F3" s="214"/>
    </row>
    <row r="4" spans="1:22" x14ac:dyDescent="0.25">
      <c r="A4" s="88" t="s">
        <v>7</v>
      </c>
      <c r="B4" s="415">
        <v>552510</v>
      </c>
      <c r="C4" s="22">
        <f>'LWVC-Stmt of Act. by Class'!AZ32</f>
        <v>199505.69</v>
      </c>
      <c r="D4" s="253">
        <f t="shared" ref="D4:D9" si="0">C4-B4</f>
        <v>-353004.31</v>
      </c>
      <c r="E4" s="89">
        <f>+C4/B4</f>
        <v>0.36108973593238131</v>
      </c>
      <c r="F4" s="251"/>
      <c r="G4" s="252">
        <f>12/11</f>
        <v>1.0909090909090908</v>
      </c>
    </row>
    <row r="5" spans="1:22" x14ac:dyDescent="0.25">
      <c r="A5" s="88"/>
      <c r="B5" s="23"/>
      <c r="C5" s="22"/>
      <c r="D5" s="72"/>
      <c r="E5" s="89"/>
      <c r="F5" s="251"/>
      <c r="G5" s="252"/>
    </row>
    <row r="6" spans="1:22" ht="15.75" thickBot="1" x14ac:dyDescent="0.3">
      <c r="A6" s="26" t="s">
        <v>9</v>
      </c>
      <c r="B6" s="416">
        <f>+B5+B4</f>
        <v>552510</v>
      </c>
      <c r="C6" s="286">
        <f>SUM(C4:C5)</f>
        <v>199505.69</v>
      </c>
      <c r="D6" s="74">
        <f t="shared" si="0"/>
        <v>-353004.31</v>
      </c>
      <c r="E6" s="89">
        <f>+C6/B6</f>
        <v>0.36108973593238131</v>
      </c>
      <c r="F6" s="251"/>
      <c r="G6" s="252"/>
    </row>
    <row r="7" spans="1:22" x14ac:dyDescent="0.25">
      <c r="A7" s="26" t="s">
        <v>56</v>
      </c>
      <c r="B7" s="415">
        <v>548253</v>
      </c>
      <c r="C7" s="22">
        <f>'LWVC-Stmt of Act. by Class'!AZ49</f>
        <v>107000.8</v>
      </c>
      <c r="D7" s="72">
        <f t="shared" si="0"/>
        <v>-441252.2</v>
      </c>
      <c r="E7" s="89">
        <f>+C7/B7</f>
        <v>0.19516682991246742</v>
      </c>
      <c r="F7" s="251"/>
      <c r="G7" s="250"/>
    </row>
    <row r="8" spans="1:22" x14ac:dyDescent="0.25">
      <c r="A8" s="26" t="s">
        <v>57</v>
      </c>
      <c r="B8" s="23">
        <v>0</v>
      </c>
      <c r="C8" s="22">
        <v>0</v>
      </c>
      <c r="D8" s="72">
        <f t="shared" si="0"/>
        <v>0</v>
      </c>
      <c r="E8" s="89"/>
      <c r="F8" s="251"/>
      <c r="G8" s="250"/>
    </row>
    <row r="9" spans="1:22" ht="15.75" thickBot="1" x14ac:dyDescent="0.3">
      <c r="A9" s="91" t="s">
        <v>14</v>
      </c>
      <c r="B9" s="416">
        <f>+B6-B7</f>
        <v>4257</v>
      </c>
      <c r="C9" s="286">
        <f>+C6-C7-C8</f>
        <v>92504.89</v>
      </c>
      <c r="D9" s="74">
        <f t="shared" si="0"/>
        <v>88247.89</v>
      </c>
      <c r="E9" s="93"/>
      <c r="F9" s="1"/>
      <c r="G9" s="250"/>
    </row>
    <row r="10" spans="1:22" x14ac:dyDescent="0.25">
      <c r="A10" s="16"/>
      <c r="B10" s="393"/>
      <c r="C10" s="393"/>
      <c r="D10" s="20"/>
      <c r="E10" s="18"/>
      <c r="F10" s="1"/>
      <c r="H10" s="2"/>
    </row>
    <row r="11" spans="1:22" x14ac:dyDescent="0.25">
      <c r="A11" s="19" t="s">
        <v>488</v>
      </c>
      <c r="B11" s="486">
        <v>220308</v>
      </c>
      <c r="C11" s="486">
        <f>B11</f>
        <v>220308</v>
      </c>
      <c r="D11" s="2"/>
      <c r="E11" s="48"/>
      <c r="F11" s="2"/>
      <c r="G11" s="103"/>
      <c r="H11" s="2"/>
      <c r="K11" s="75"/>
      <c r="L11" s="75"/>
      <c r="M11" s="75"/>
      <c r="N11" s="75"/>
      <c r="O11" s="75"/>
    </row>
    <row r="12" spans="1:22" x14ac:dyDescent="0.25">
      <c r="A12" s="26" t="s">
        <v>489</v>
      </c>
      <c r="B12" s="397">
        <f>+B11+B9</f>
        <v>224565</v>
      </c>
      <c r="C12" s="398">
        <f>+C11+C9</f>
        <v>312812.89</v>
      </c>
      <c r="D12" s="20"/>
      <c r="E12" s="18"/>
      <c r="F12" s="34"/>
      <c r="K12" s="75"/>
      <c r="L12" s="248"/>
      <c r="M12" s="248"/>
      <c r="N12" s="75"/>
      <c r="O12" s="75"/>
    </row>
    <row r="13" spans="1:22" x14ac:dyDescent="0.25">
      <c r="A13" s="19"/>
      <c r="B13" s="25"/>
      <c r="C13" s="25"/>
      <c r="D13" s="20"/>
      <c r="E13" s="18"/>
      <c r="F13" s="5"/>
      <c r="K13" s="75"/>
      <c r="L13" s="75"/>
      <c r="M13" s="75"/>
      <c r="N13" s="75"/>
      <c r="O13" s="75"/>
    </row>
    <row r="14" spans="1:22" x14ac:dyDescent="0.25">
      <c r="A14" s="26" t="s">
        <v>17</v>
      </c>
      <c r="B14" s="25"/>
      <c r="C14" s="25"/>
      <c r="D14" s="20"/>
      <c r="E14" s="6"/>
      <c r="F14" s="5"/>
      <c r="G14" s="372"/>
      <c r="H14" s="372"/>
      <c r="I14" s="372"/>
      <c r="J14" s="372"/>
      <c r="K14" s="372"/>
    </row>
    <row r="15" spans="1:22" x14ac:dyDescent="0.25">
      <c r="A15" s="88" t="s">
        <v>58</v>
      </c>
      <c r="B15" s="417">
        <v>115000</v>
      </c>
      <c r="C15" s="394">
        <v>115000</v>
      </c>
      <c r="D15" s="487" t="s">
        <v>471</v>
      </c>
      <c r="E15" s="1"/>
      <c r="F15" s="2"/>
      <c r="G15" s="401"/>
      <c r="H15" s="488"/>
      <c r="I15" s="401"/>
      <c r="J15" s="488"/>
      <c r="K15" s="401"/>
      <c r="L15" s="489"/>
      <c r="M15" s="401"/>
      <c r="N15" s="490"/>
      <c r="O15" s="401"/>
      <c r="P15" s="401"/>
      <c r="Q15" s="491"/>
      <c r="R15" s="491"/>
      <c r="S15" s="491"/>
      <c r="T15" s="491"/>
      <c r="U15" s="2"/>
      <c r="V15" s="2"/>
    </row>
    <row r="16" spans="1:22" x14ac:dyDescent="0.25">
      <c r="A16" s="88" t="s">
        <v>49</v>
      </c>
      <c r="B16" s="21">
        <v>0</v>
      </c>
      <c r="C16" s="249">
        <v>0</v>
      </c>
      <c r="D16" s="130"/>
      <c r="E16" s="1"/>
      <c r="F16" s="2"/>
      <c r="G16" s="401"/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401"/>
      <c r="V16" s="401"/>
    </row>
    <row r="17" spans="1:22" x14ac:dyDescent="0.25">
      <c r="A17" s="88" t="s">
        <v>35</v>
      </c>
      <c r="B17" s="417">
        <f>30195-3000</f>
        <v>27195</v>
      </c>
      <c r="C17" s="249">
        <f>'LWVC-Stmt of Fin. Postn. by Mth'!AD80</f>
        <v>21482.45</v>
      </c>
      <c r="D17" s="130"/>
      <c r="E17" s="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88" t="s">
        <v>59</v>
      </c>
      <c r="B18" s="21">
        <v>0</v>
      </c>
      <c r="C18" s="249"/>
      <c r="D18" s="20"/>
      <c r="E18" s="6"/>
      <c r="F18" s="5"/>
      <c r="K18" s="248"/>
      <c r="L18" s="248"/>
      <c r="M18" s="248"/>
      <c r="N18" s="248"/>
      <c r="O18" s="248"/>
    </row>
    <row r="19" spans="1:22" ht="15.75" thickBot="1" x14ac:dyDescent="0.3">
      <c r="A19" s="91" t="s">
        <v>60</v>
      </c>
      <c r="B19" s="266">
        <f>B12-B15-B17</f>
        <v>82370</v>
      </c>
      <c r="C19" s="395">
        <f>+C12-C15-C16-C17-C18</f>
        <v>176330.44</v>
      </c>
      <c r="D19" s="20"/>
      <c r="E19" s="18"/>
      <c r="F19" s="5"/>
    </row>
    <row r="20" spans="1:22" ht="15.75" thickBot="1" x14ac:dyDescent="0.3">
      <c r="A20" s="29" t="s">
        <v>333</v>
      </c>
      <c r="B20" s="418">
        <f>SUM(B15:B19)</f>
        <v>224565</v>
      </c>
      <c r="C20" s="396">
        <f>SUM(C15:C19)</f>
        <v>312812.89</v>
      </c>
      <c r="D20" s="20"/>
      <c r="E20" s="18"/>
      <c r="F20" s="5"/>
    </row>
    <row r="21" spans="1:22" x14ac:dyDescent="0.25">
      <c r="A21" s="6"/>
      <c r="B21" s="20"/>
      <c r="C21" s="23"/>
      <c r="D21" s="23"/>
      <c r="E21" s="5"/>
      <c r="F21" s="6"/>
      <c r="G21" s="337"/>
    </row>
    <row r="22" spans="1:22" ht="15.75" thickBot="1" x14ac:dyDescent="0.3">
      <c r="A22" s="337"/>
      <c r="B22" s="101"/>
      <c r="C22" s="46"/>
      <c r="D22" s="46"/>
      <c r="F22" s="337"/>
      <c r="G22" s="337"/>
    </row>
    <row r="23" spans="1:22" ht="29.25" customHeight="1" thickBot="1" x14ac:dyDescent="0.3">
      <c r="A23" s="247" t="s">
        <v>61</v>
      </c>
      <c r="B23" s="135" t="s">
        <v>48</v>
      </c>
      <c r="C23" s="137" t="s">
        <v>53</v>
      </c>
      <c r="D23" s="135" t="s">
        <v>46</v>
      </c>
      <c r="E23" s="246" t="s">
        <v>55</v>
      </c>
      <c r="F23" s="245" t="s">
        <v>62</v>
      </c>
      <c r="G23" s="244"/>
    </row>
    <row r="24" spans="1:22" x14ac:dyDescent="0.25">
      <c r="A24" s="105" t="s">
        <v>64</v>
      </c>
      <c r="B24" s="419">
        <v>184330</v>
      </c>
      <c r="C24" s="20">
        <f>'LWVC-Stmt of Act. by Class'!AZ9</f>
        <v>110827.58</v>
      </c>
      <c r="D24" s="240">
        <f t="shared" ref="D24:D30" si="1">+C24-B24</f>
        <v>-73502.42</v>
      </c>
      <c r="E24" s="239">
        <f t="shared" ref="E24:E31" si="2">+C24/B24</f>
        <v>0.60124548364346553</v>
      </c>
      <c r="F24" s="236">
        <f>E24-B24</f>
        <v>-184329.39875451635</v>
      </c>
      <c r="G24" s="235"/>
    </row>
    <row r="25" spans="1:22" x14ac:dyDescent="0.25">
      <c r="A25" s="105" t="s">
        <v>65</v>
      </c>
      <c r="B25" s="420">
        <f>111000-B27</f>
        <v>86000</v>
      </c>
      <c r="C25" s="106">
        <f>'LWVC-Stmt of Act. by Class'!AZ11+'LWVC-Stmt of Act. by Class'!AZ13</f>
        <v>41615.01</v>
      </c>
      <c r="D25" s="240">
        <f t="shared" si="1"/>
        <v>-44384.99</v>
      </c>
      <c r="E25" s="239">
        <f t="shared" si="2"/>
        <v>0.48389546511627907</v>
      </c>
      <c r="F25" s="236">
        <f>E25-B25</f>
        <v>-85999.51610453488</v>
      </c>
      <c r="G25" s="235"/>
    </row>
    <row r="26" spans="1:22" x14ac:dyDescent="0.25">
      <c r="A26" s="105" t="s">
        <v>66</v>
      </c>
      <c r="B26" s="241">
        <v>0</v>
      </c>
      <c r="C26" s="106"/>
      <c r="D26" s="240">
        <f t="shared" si="1"/>
        <v>0</v>
      </c>
      <c r="E26" s="239" t="e">
        <f t="shared" si="2"/>
        <v>#DIV/0!</v>
      </c>
      <c r="F26" s="236"/>
      <c r="G26" s="235"/>
    </row>
    <row r="27" spans="1:22" x14ac:dyDescent="0.25">
      <c r="A27" s="105" t="s">
        <v>67</v>
      </c>
      <c r="B27" s="241">
        <v>25000</v>
      </c>
      <c r="C27" s="106">
        <f>'LWVC-Stmt of Act. by Class'!AH12</f>
        <v>3095</v>
      </c>
      <c r="D27" s="240">
        <f t="shared" si="1"/>
        <v>-21905</v>
      </c>
      <c r="E27" s="239">
        <f t="shared" si="2"/>
        <v>0.12379999999999999</v>
      </c>
      <c r="F27" s="236">
        <f>E27-B27</f>
        <v>-24999.876199999999</v>
      </c>
      <c r="G27" s="235"/>
    </row>
    <row r="28" spans="1:22" x14ac:dyDescent="0.25">
      <c r="A28" s="105" t="s">
        <v>455</v>
      </c>
      <c r="B28" s="241">
        <v>0</v>
      </c>
      <c r="C28" s="106">
        <f>'LWVC-Stmt of Act. by Class'!AF12</f>
        <v>1100</v>
      </c>
      <c r="D28" s="240">
        <f t="shared" si="1"/>
        <v>1100</v>
      </c>
      <c r="E28" s="239" t="e">
        <f t="shared" si="2"/>
        <v>#DIV/0!</v>
      </c>
      <c r="F28" s="236"/>
      <c r="G28" s="235"/>
    </row>
    <row r="29" spans="1:22" x14ac:dyDescent="0.25">
      <c r="A29" s="105" t="s">
        <v>68</v>
      </c>
      <c r="B29" s="420">
        <v>254600</v>
      </c>
      <c r="C29" s="27">
        <f>'LWVC-Stmt of Act. by Class'!AZ25</f>
        <v>42185.46</v>
      </c>
      <c r="D29" s="240">
        <f t="shared" si="1"/>
        <v>-212414.54</v>
      </c>
      <c r="E29" s="239">
        <f t="shared" si="2"/>
        <v>0.16569308719560094</v>
      </c>
      <c r="F29" s="236">
        <f>E29-B29</f>
        <v>-254599.83430691282</v>
      </c>
      <c r="G29" s="235"/>
    </row>
    <row r="30" spans="1:22" x14ac:dyDescent="0.25">
      <c r="A30" s="105" t="s">
        <v>69</v>
      </c>
      <c r="B30" s="420">
        <v>2580</v>
      </c>
      <c r="C30" s="27">
        <f>'LWVC-Stmt of Act. by Class'!AZ26+'LWVC-Stmt of Act. by Class'!AZ27-'LWVC-Stmt of Act. by Class'!AZ31</f>
        <v>682.6400000000001</v>
      </c>
      <c r="D30" s="240">
        <f t="shared" si="1"/>
        <v>-1897.36</v>
      </c>
      <c r="E30" s="239">
        <f t="shared" si="2"/>
        <v>0.26458914728682176</v>
      </c>
      <c r="F30" s="236"/>
      <c r="G30" s="235"/>
      <c r="H30" s="116"/>
      <c r="I30" s="114"/>
      <c r="J30" s="114"/>
      <c r="K30" s="337"/>
      <c r="L30" s="337"/>
      <c r="M30" s="337"/>
      <c r="N30" s="337"/>
      <c r="O30" s="337"/>
    </row>
    <row r="31" spans="1:22" ht="15.75" thickBot="1" x14ac:dyDescent="0.3">
      <c r="A31" s="108" t="s">
        <v>70</v>
      </c>
      <c r="B31" s="421">
        <f>SUM(B24:B30)</f>
        <v>552510</v>
      </c>
      <c r="C31" s="56">
        <f>SUM(C24:C30)</f>
        <v>199505.69</v>
      </c>
      <c r="D31" s="243">
        <f>SUM(D24:D30)</f>
        <v>-353004.31</v>
      </c>
      <c r="E31" s="242">
        <f t="shared" si="2"/>
        <v>0.36108973593238131</v>
      </c>
      <c r="F31" s="236">
        <f>E31-B31</f>
        <v>-552509.63891026401</v>
      </c>
      <c r="G31" s="235">
        <f>E31/B31</f>
        <v>6.5354425428025068E-7</v>
      </c>
      <c r="H31" s="116"/>
      <c r="I31" s="114"/>
      <c r="J31" s="114"/>
      <c r="K31" s="337"/>
      <c r="L31" s="337"/>
      <c r="M31" s="337"/>
      <c r="N31" s="337"/>
      <c r="O31" s="337"/>
    </row>
    <row r="32" spans="1:22" ht="21.75" customHeight="1" thickTop="1" x14ac:dyDescent="0.25">
      <c r="A32" s="105"/>
      <c r="B32" s="241"/>
      <c r="C32" s="27"/>
      <c r="D32" s="240"/>
      <c r="E32" s="239"/>
      <c r="F32" s="236"/>
      <c r="G32" s="235"/>
      <c r="H32" s="611"/>
      <c r="I32" s="611"/>
      <c r="J32" s="611"/>
      <c r="K32" s="611"/>
      <c r="L32" s="611"/>
      <c r="M32" s="388"/>
      <c r="N32" s="337"/>
      <c r="O32" s="337"/>
    </row>
    <row r="33" spans="1:15" ht="15.75" thickBot="1" x14ac:dyDescent="0.3">
      <c r="A33" s="133" t="s">
        <v>71</v>
      </c>
      <c r="B33" s="422">
        <f>B32+B31</f>
        <v>552510</v>
      </c>
      <c r="C33" s="49">
        <f>+C32+C31</f>
        <v>199505.69</v>
      </c>
      <c r="D33" s="238">
        <f>SUM(D31:D32)</f>
        <v>-353004.31</v>
      </c>
      <c r="E33" s="237">
        <f>+C33/B33</f>
        <v>0.36108973593238131</v>
      </c>
      <c r="F33" s="236">
        <f>E33-B33</f>
        <v>-552509.63891026401</v>
      </c>
      <c r="G33" s="235">
        <f>E33/B33</f>
        <v>6.5354425428025068E-7</v>
      </c>
      <c r="H33" s="234"/>
      <c r="I33" s="114"/>
      <c r="J33" s="114"/>
      <c r="K33" s="337"/>
      <c r="L33" s="337"/>
      <c r="M33" s="337"/>
      <c r="N33" s="337"/>
      <c r="O33" s="337"/>
    </row>
    <row r="34" spans="1:15" x14ac:dyDescent="0.25">
      <c r="A34" s="337"/>
      <c r="B34" s="101"/>
      <c r="C34" s="46"/>
      <c r="D34" s="46"/>
      <c r="F34" s="337"/>
      <c r="G34" s="337"/>
      <c r="I34" s="114"/>
      <c r="J34" s="114"/>
      <c r="K34" s="337"/>
      <c r="L34" s="337"/>
      <c r="M34" s="337"/>
      <c r="N34" s="337"/>
      <c r="O34" s="337"/>
    </row>
    <row r="35" spans="1:15" ht="29.25" customHeight="1" thickBot="1" x14ac:dyDescent="0.3">
      <c r="A35" s="146" t="s">
        <v>490</v>
      </c>
    </row>
    <row r="36" spans="1:15" x14ac:dyDescent="0.25">
      <c r="A36" s="148" t="s">
        <v>72</v>
      </c>
      <c r="B36" s="612" t="s">
        <v>73</v>
      </c>
      <c r="C36" s="612"/>
      <c r="D36" s="612"/>
      <c r="E36" s="612"/>
      <c r="F36" s="612" t="s">
        <v>74</v>
      </c>
      <c r="G36" s="612"/>
      <c r="H36" s="612"/>
      <c r="I36" s="612"/>
      <c r="J36" s="612"/>
      <c r="K36" s="613"/>
    </row>
    <row r="37" spans="1:15" ht="29.25" customHeight="1" x14ac:dyDescent="0.25">
      <c r="A37" s="429"/>
      <c r="B37" s="430" t="s">
        <v>75</v>
      </c>
      <c r="C37" s="430" t="s">
        <v>76</v>
      </c>
      <c r="D37" s="430" t="s">
        <v>77</v>
      </c>
      <c r="E37" s="431" t="s">
        <v>78</v>
      </c>
      <c r="F37" s="430" t="s">
        <v>79</v>
      </c>
      <c r="G37" s="430" t="s">
        <v>80</v>
      </c>
      <c r="H37" s="430" t="s">
        <v>81</v>
      </c>
      <c r="I37" s="430" t="s">
        <v>82</v>
      </c>
      <c r="J37" s="431" t="s">
        <v>83</v>
      </c>
      <c r="K37" s="432" t="s">
        <v>84</v>
      </c>
    </row>
    <row r="38" spans="1:15" x14ac:dyDescent="0.25">
      <c r="A38" s="429" t="s">
        <v>85</v>
      </c>
      <c r="B38" s="621">
        <v>9483</v>
      </c>
      <c r="C38" s="423">
        <v>24342</v>
      </c>
      <c r="D38" s="423">
        <v>27763</v>
      </c>
      <c r="E38" s="423">
        <f>SUM(B38:D38)</f>
        <v>61588</v>
      </c>
      <c r="F38" s="423">
        <v>8238</v>
      </c>
      <c r="G38" s="423">
        <v>22801</v>
      </c>
      <c r="H38" s="423">
        <v>49385</v>
      </c>
      <c r="I38" s="423">
        <v>145607</v>
      </c>
      <c r="J38" s="423">
        <f>SUM(F38:I38)</f>
        <v>226031</v>
      </c>
      <c r="K38" s="417">
        <f>+J38+E38</f>
        <v>287619</v>
      </c>
    </row>
    <row r="39" spans="1:15" x14ac:dyDescent="0.25">
      <c r="A39" s="429" t="s">
        <v>86</v>
      </c>
      <c r="B39" s="621">
        <v>10008</v>
      </c>
      <c r="C39" s="424">
        <v>2023</v>
      </c>
      <c r="D39" s="424">
        <v>525</v>
      </c>
      <c r="E39" s="424">
        <f>SUM(B39:D39)</f>
        <v>12556</v>
      </c>
      <c r="F39" s="424">
        <v>1510</v>
      </c>
      <c r="G39" s="424">
        <v>106023</v>
      </c>
      <c r="H39" s="424">
        <v>566</v>
      </c>
      <c r="I39" s="424">
        <v>3134</v>
      </c>
      <c r="J39" s="425">
        <f>SUM(F39:I39)</f>
        <v>111233</v>
      </c>
      <c r="K39" s="417">
        <f>+J39+E39</f>
        <v>123789</v>
      </c>
    </row>
    <row r="40" spans="1:15" x14ac:dyDescent="0.25">
      <c r="A40" s="429" t="s">
        <v>87</v>
      </c>
      <c r="B40" s="621">
        <v>2453</v>
      </c>
      <c r="C40" s="424">
        <v>21455</v>
      </c>
      <c r="D40" s="424">
        <v>5371</v>
      </c>
      <c r="E40" s="424">
        <f>SUM(B40:D40)</f>
        <v>29279</v>
      </c>
      <c r="F40" s="424">
        <v>1225</v>
      </c>
      <c r="G40" s="424">
        <v>5920</v>
      </c>
      <c r="H40" s="424">
        <v>37272</v>
      </c>
      <c r="I40" s="424">
        <v>22237</v>
      </c>
      <c r="J40" s="425">
        <f>SUM(F40:I40)</f>
        <v>66654</v>
      </c>
      <c r="K40" s="417">
        <f>+J40+E40</f>
        <v>95933</v>
      </c>
    </row>
    <row r="41" spans="1:15" x14ac:dyDescent="0.25">
      <c r="A41" s="429" t="s">
        <v>88</v>
      </c>
      <c r="B41" s="621">
        <v>729</v>
      </c>
      <c r="C41" s="424">
        <v>3395</v>
      </c>
      <c r="D41" s="424">
        <v>17361</v>
      </c>
      <c r="E41" s="424">
        <f>SUM(B41:D41)</f>
        <v>21485</v>
      </c>
      <c r="F41" s="424">
        <v>756</v>
      </c>
      <c r="G41" s="424">
        <v>2833</v>
      </c>
      <c r="H41" s="424">
        <v>5218</v>
      </c>
      <c r="I41" s="424">
        <v>9605</v>
      </c>
      <c r="J41" s="425">
        <f>SUM(F41:I41)</f>
        <v>18412</v>
      </c>
      <c r="K41" s="417">
        <f>+J41+E41</f>
        <v>39897</v>
      </c>
    </row>
    <row r="42" spans="1:15" ht="15.75" thickBot="1" x14ac:dyDescent="0.3">
      <c r="A42" s="433" t="s">
        <v>89</v>
      </c>
      <c r="B42" s="426">
        <v>22673</v>
      </c>
      <c r="C42" s="427">
        <v>51215</v>
      </c>
      <c r="D42" s="427">
        <v>51020</v>
      </c>
      <c r="E42" s="426">
        <f t="shared" ref="E42:K42" si="3">SUM(E38:E41)</f>
        <v>124908</v>
      </c>
      <c r="F42" s="426">
        <v>11729</v>
      </c>
      <c r="G42" s="426">
        <v>137577</v>
      </c>
      <c r="H42" s="426">
        <v>92441</v>
      </c>
      <c r="I42" s="426">
        <v>180583</v>
      </c>
      <c r="J42" s="427">
        <f t="shared" si="3"/>
        <v>422330</v>
      </c>
      <c r="K42" s="428">
        <f t="shared" si="3"/>
        <v>547238</v>
      </c>
    </row>
    <row r="43" spans="1:15" ht="5.25" customHeight="1" x14ac:dyDescent="0.25">
      <c r="A43" s="73"/>
      <c r="B43" s="233"/>
      <c r="C43" s="233"/>
      <c r="D43" s="233"/>
      <c r="E43" s="233"/>
      <c r="F43" s="233"/>
      <c r="G43" s="233"/>
      <c r="H43" s="233"/>
      <c r="I43" s="233"/>
      <c r="J43" s="233"/>
      <c r="K43" s="232"/>
    </row>
    <row r="44" spans="1:15" ht="15" customHeight="1" thickBot="1" x14ac:dyDescent="0.3">
      <c r="A44" s="73"/>
      <c r="B44" s="233"/>
      <c r="C44" s="233"/>
      <c r="D44" s="233"/>
      <c r="E44" s="233"/>
      <c r="F44" s="233"/>
      <c r="G44" s="233"/>
      <c r="H44" s="233"/>
      <c r="I44" s="233"/>
      <c r="J44" s="233"/>
      <c r="K44" s="232"/>
    </row>
    <row r="45" spans="1:15" x14ac:dyDescent="0.25">
      <c r="A45" s="170" t="s">
        <v>478</v>
      </c>
      <c r="B45" s="608" t="s">
        <v>73</v>
      </c>
      <c r="C45" s="608"/>
      <c r="D45" s="608"/>
      <c r="E45" s="608"/>
      <c r="F45" s="608" t="s">
        <v>74</v>
      </c>
      <c r="G45" s="608"/>
      <c r="H45" s="608"/>
      <c r="I45" s="608"/>
      <c r="J45" s="608"/>
      <c r="K45" s="609"/>
    </row>
    <row r="46" spans="1:15" ht="30.75" customHeight="1" x14ac:dyDescent="0.25">
      <c r="A46" s="173"/>
      <c r="B46" s="231" t="s">
        <v>75</v>
      </c>
      <c r="C46" s="231" t="s">
        <v>76</v>
      </c>
      <c r="D46" s="231" t="s">
        <v>77</v>
      </c>
      <c r="E46" s="230" t="s">
        <v>78</v>
      </c>
      <c r="F46" s="231" t="s">
        <v>79</v>
      </c>
      <c r="G46" s="231" t="s">
        <v>80</v>
      </c>
      <c r="H46" s="231" t="s">
        <v>81</v>
      </c>
      <c r="I46" s="231" t="s">
        <v>82</v>
      </c>
      <c r="J46" s="230" t="s">
        <v>83</v>
      </c>
      <c r="K46" s="177" t="s">
        <v>84</v>
      </c>
    </row>
    <row r="47" spans="1:15" x14ac:dyDescent="0.25">
      <c r="A47" s="173" t="s">
        <v>85</v>
      </c>
      <c r="B47" s="283">
        <f>'LWVC-Stmt of Act. by Class'!H34</f>
        <v>2563.29</v>
      </c>
      <c r="C47" s="283">
        <f>'LWVC-Stmt of Act. by Class'!J34</f>
        <v>6300.89</v>
      </c>
      <c r="D47" s="283">
        <f>'LWVC-Stmt of Act. by Class'!N34</f>
        <v>8135.63</v>
      </c>
      <c r="E47" s="283">
        <f>SUM(B47:D47)</f>
        <v>16999.810000000001</v>
      </c>
      <c r="F47" s="283">
        <f>'LWVC-Stmt of Act. by Class'!T34+'LWVC-Stmt of Act. by Class'!X34</f>
        <v>1614.38</v>
      </c>
      <c r="G47" s="283">
        <f>'LWVC-Stmt of Act. by Class'!V34</f>
        <v>6005.13</v>
      </c>
      <c r="H47" s="283">
        <f>'LWVC-Stmt of Act. by Class'!AD34</f>
        <v>10765.72</v>
      </c>
      <c r="I47" s="283">
        <f>'LWVC-Stmt of Act. by Class'!AL34</f>
        <v>39958.5</v>
      </c>
      <c r="J47" s="283">
        <f>SUM(F47:I47)</f>
        <v>58343.729999999996</v>
      </c>
      <c r="K47" s="284">
        <f>J47+E47</f>
        <v>75343.539999999994</v>
      </c>
      <c r="L47" s="229"/>
    </row>
    <row r="48" spans="1:15" x14ac:dyDescent="0.25">
      <c r="A48" s="173" t="s">
        <v>86</v>
      </c>
      <c r="B48" s="285">
        <v>0</v>
      </c>
      <c r="C48" s="285">
        <v>0</v>
      </c>
      <c r="D48" s="285">
        <v>0</v>
      </c>
      <c r="E48" s="285">
        <f>SUM(B48:D48)</f>
        <v>0</v>
      </c>
      <c r="F48" s="285">
        <v>0</v>
      </c>
      <c r="G48" s="285">
        <v>0</v>
      </c>
      <c r="H48" s="285">
        <v>0</v>
      </c>
      <c r="I48" s="285">
        <v>0</v>
      </c>
      <c r="J48" s="283">
        <f>SUM(F48:I48)</f>
        <v>0</v>
      </c>
      <c r="K48" s="284">
        <f>J48+E48</f>
        <v>0</v>
      </c>
    </row>
    <row r="49" spans="1:13" x14ac:dyDescent="0.25">
      <c r="A49" s="173" t="s">
        <v>87</v>
      </c>
      <c r="B49" s="285">
        <f>+'LWVC-Stmt of Act. by Class'!H35+'LWVC-Stmt of Act. by Class'!H36+'LWVC-Stmt of Act. by Class'!H42+'LWVC-Stmt of Act. by Class'!H43+'LWVC-Stmt of Act. by Class'!H44+'LWVC-Stmt of Act. by Class'!H45+'LWVC-Stmt of Act. by Class'!H46+'LWVC-Stmt of Act. by Class'!H47+'LWVC-Stmt of Act. by Class'!H48+'LWVC-Stmt of Act. by Class'!H37</f>
        <v>71.56</v>
      </c>
      <c r="C49" s="285">
        <f>+'LWVC-Stmt of Act. by Class'!J35+'LWVC-Stmt of Act. by Class'!J36+'LWVC-Stmt of Act. by Class'!J42+'LWVC-Stmt of Act. by Class'!J43+'LWVC-Stmt of Act. by Class'!J44+'LWVC-Stmt of Act. by Class'!J45+'LWVC-Stmt of Act. by Class'!J46+'LWVC-Stmt of Act. by Class'!J47+'LWVC-Stmt of Act. by Class'!J48+'LWVC-Stmt of Act. by Class'!J37</f>
        <v>5723.48</v>
      </c>
      <c r="D49" s="285">
        <f>+'LWVC-Stmt of Act. by Class'!N35+'LWVC-Stmt of Act. by Class'!N36+'LWVC-Stmt of Act. by Class'!N42+'LWVC-Stmt of Act. by Class'!N43+'LWVC-Stmt of Act. by Class'!N44+'LWVC-Stmt of Act. by Class'!N45+'LWVC-Stmt of Act. by Class'!N46+'LWVC-Stmt of Act. by Class'!N47+'LWVC-Stmt of Act. by Class'!N48+'LWVC-Stmt of Act. by Class'!N37</f>
        <v>3385.0299999999997</v>
      </c>
      <c r="E49" s="285">
        <f>SUM(B49:D49)</f>
        <v>9180.07</v>
      </c>
      <c r="F49" s="285">
        <f>+'LWVC-Stmt of Act. by Class'!T35+'LWVC-Stmt of Act. by Class'!T36+'LWVC-Stmt of Act. by Class'!T42+'LWVC-Stmt of Act. by Class'!T43+'LWVC-Stmt of Act. by Class'!T44+'LWVC-Stmt of Act. by Class'!T45+'LWVC-Stmt of Act. by Class'!T46+'LWVC-Stmt of Act. by Class'!T47+'LWVC-Stmt of Act. by Class'!T48+'LWVC-Stmt of Act. by Class'!X35+'LWVC-Stmt of Act. by Class'!X36+'LWVC-Stmt of Act. by Class'!X42+'LWVC-Stmt of Act. by Class'!X43+'LWVC-Stmt of Act. by Class'!X44+'LWVC-Stmt of Act. by Class'!X45+'LWVC-Stmt of Act. by Class'!X46+'LWVC-Stmt of Act. by Class'!X47+'LWVC-Stmt of Act. by Class'!X48+'LWVC-Stmt of Act. by Class'!X37+'LWVC-Stmt of Act. by Class'!T37</f>
        <v>99.05</v>
      </c>
      <c r="G49" s="285">
        <f>+'LWVC-Stmt of Act. by Class'!V35+'LWVC-Stmt of Act. by Class'!V36+'LWVC-Stmt of Act. by Class'!V42+'LWVC-Stmt of Act. by Class'!V43+'LWVC-Stmt of Act. by Class'!V44+'LWVC-Stmt of Act. by Class'!V45+'LWVC-Stmt of Act. by Class'!V46+'LWVC-Stmt of Act. by Class'!V47+'LWVC-Stmt of Act. by Class'!V48+'LWVC-Stmt of Act. by Class'!V37</f>
        <v>212.34</v>
      </c>
      <c r="H49" s="285">
        <f>+'LWVC-Stmt of Act. by Class'!AD35+'LWVC-Stmt of Act. by Class'!AD36+'LWVC-Stmt of Act. by Class'!AD42+'LWVC-Stmt of Act. by Class'!AD43+'LWVC-Stmt of Act. by Class'!AD44+'LWVC-Stmt of Act. by Class'!AD45+'LWVC-Stmt of Act. by Class'!AD46+'LWVC-Stmt of Act. by Class'!AD47+'LWVC-Stmt of Act. by Class'!AD48+'LWVC-Stmt of Act. by Class'!AD37</f>
        <v>6825.99</v>
      </c>
      <c r="I49" s="285">
        <f>+'LWVC-Stmt of Act. by Class'!AL35+'LWVC-Stmt of Act. by Class'!AL36+'LWVC-Stmt of Act. by Class'!AL42+'LWVC-Stmt of Act. by Class'!AL43+'LWVC-Stmt of Act. by Class'!AL44+'LWVC-Stmt of Act. by Class'!AL45+'LWVC-Stmt of Act. by Class'!AL46+'LWVC-Stmt of Act. by Class'!AL47+'LWVC-Stmt of Act. by Class'!AL48+'LWVC-Stmt of Act. by Class'!AL37</f>
        <v>7929.78</v>
      </c>
      <c r="J49" s="283">
        <f>SUM(F49:I49)</f>
        <v>15067.16</v>
      </c>
      <c r="K49" s="284">
        <f>J49+E49</f>
        <v>24247.23</v>
      </c>
    </row>
    <row r="50" spans="1:13" x14ac:dyDescent="0.25">
      <c r="A50" s="173" t="s">
        <v>88</v>
      </c>
      <c r="B50" s="285">
        <f>B51-B49-B48-B47</f>
        <v>162.5300000000002</v>
      </c>
      <c r="C50" s="285">
        <f>C51-C49-C48-C47</f>
        <v>692.25000000000091</v>
      </c>
      <c r="D50" s="285">
        <f>D51-D49-D48-D47</f>
        <v>2955.0299999999997</v>
      </c>
      <c r="E50" s="285">
        <f>SUM(B50:D50)</f>
        <v>3809.8100000000009</v>
      </c>
      <c r="F50" s="285">
        <f>F51-F49-F48-F47</f>
        <v>167.92999999999984</v>
      </c>
      <c r="G50" s="285">
        <f>G51-G49-G48-G47</f>
        <v>407.13000000000011</v>
      </c>
      <c r="H50" s="285">
        <f>H51-H49-H48-H47</f>
        <v>1151.380000000001</v>
      </c>
      <c r="I50" s="285">
        <f>I51-I49-I48-I47</f>
        <v>1873.7799999999988</v>
      </c>
      <c r="J50" s="283">
        <f>SUM(F50:I50)</f>
        <v>3600.22</v>
      </c>
      <c r="K50" s="284">
        <f>J50+E50</f>
        <v>7410.0300000000007</v>
      </c>
    </row>
    <row r="51" spans="1:13" ht="15.75" thickBot="1" x14ac:dyDescent="0.3">
      <c r="A51" s="228" t="s">
        <v>90</v>
      </c>
      <c r="B51" s="227">
        <f>'LWVC-Stmt of Act. by Class'!H49</f>
        <v>2797.38</v>
      </c>
      <c r="C51" s="227">
        <f>'LWVC-Stmt of Act. by Class'!J49</f>
        <v>12716.62</v>
      </c>
      <c r="D51" s="227">
        <f>'LWVC-Stmt of Act. by Class'!N49</f>
        <v>14475.69</v>
      </c>
      <c r="E51" s="227">
        <f>SUM(E47:E50)</f>
        <v>29989.690000000002</v>
      </c>
      <c r="F51" s="227">
        <f>'LWVC-Stmt of Act. by Class'!T49+'LWVC-Stmt of Act. by Class'!X49</f>
        <v>1881.36</v>
      </c>
      <c r="G51" s="227">
        <f>'LWVC-Stmt of Act. by Class'!V49</f>
        <v>6624.6</v>
      </c>
      <c r="H51" s="227">
        <f>'LWVC-Stmt of Act. by Class'!AD49</f>
        <v>18743.09</v>
      </c>
      <c r="I51" s="227">
        <f>'LWVC-Stmt of Act. by Class'!AL49</f>
        <v>49762.06</v>
      </c>
      <c r="J51" s="295">
        <f>SUM(F51:I51)</f>
        <v>77011.11</v>
      </c>
      <c r="K51" s="296">
        <f>J51+E51</f>
        <v>107000.8</v>
      </c>
      <c r="L51" s="311"/>
    </row>
    <row r="52" spans="1:13" s="2" customFormat="1" ht="15.75" thickBot="1" x14ac:dyDescent="0.3">
      <c r="A52" s="76"/>
      <c r="B52" s="226"/>
      <c r="C52" s="109"/>
      <c r="D52" s="109"/>
      <c r="E52" s="226"/>
      <c r="F52" s="226"/>
      <c r="G52" s="226"/>
      <c r="H52" s="226"/>
      <c r="I52" s="226"/>
      <c r="J52" s="48"/>
      <c r="K52" s="58"/>
    </row>
    <row r="53" spans="1:13" x14ac:dyDescent="0.25">
      <c r="A53" s="184" t="s">
        <v>479</v>
      </c>
      <c r="B53" s="607" t="s">
        <v>73</v>
      </c>
      <c r="C53" s="607"/>
      <c r="D53" s="607"/>
      <c r="E53" s="607"/>
      <c r="F53" s="607" t="s">
        <v>74</v>
      </c>
      <c r="G53" s="607"/>
      <c r="H53" s="607"/>
      <c r="I53" s="607"/>
      <c r="J53" s="607"/>
      <c r="K53" s="610"/>
    </row>
    <row r="54" spans="1:13" ht="30" x14ac:dyDescent="0.25">
      <c r="A54" s="73"/>
      <c r="B54" s="215" t="s">
        <v>75</v>
      </c>
      <c r="C54" s="215" t="s">
        <v>76</v>
      </c>
      <c r="D54" s="215" t="s">
        <v>91</v>
      </c>
      <c r="E54" s="99" t="s">
        <v>78</v>
      </c>
      <c r="F54" s="215" t="s">
        <v>79</v>
      </c>
      <c r="G54" s="215" t="s">
        <v>80</v>
      </c>
      <c r="H54" s="215" t="s">
        <v>81</v>
      </c>
      <c r="I54" s="215" t="s">
        <v>82</v>
      </c>
      <c r="J54" s="99" t="s">
        <v>83</v>
      </c>
      <c r="K54" s="156" t="s">
        <v>84</v>
      </c>
    </row>
    <row r="55" spans="1:13" x14ac:dyDescent="0.25">
      <c r="A55" s="73" t="s">
        <v>85</v>
      </c>
      <c r="B55" s="222">
        <f t="shared" ref="B55:K59" si="4">+B38-B47</f>
        <v>6919.71</v>
      </c>
      <c r="C55" s="222">
        <f>'[1]LWVC-Stmt of Act. by Class'!N17</f>
        <v>23609.29</v>
      </c>
      <c r="D55" s="222">
        <f t="shared" si="4"/>
        <v>19627.37</v>
      </c>
      <c r="E55" s="222">
        <f t="shared" si="4"/>
        <v>44588.19</v>
      </c>
      <c r="F55" s="222">
        <f>+F38-F47</f>
        <v>6623.62</v>
      </c>
      <c r="G55" s="222">
        <f t="shared" si="4"/>
        <v>16795.87</v>
      </c>
      <c r="H55" s="222">
        <f t="shared" si="4"/>
        <v>38619.279999999999</v>
      </c>
      <c r="I55" s="222">
        <f t="shared" si="4"/>
        <v>105648.5</v>
      </c>
      <c r="J55" s="222">
        <f t="shared" si="4"/>
        <v>167687.27000000002</v>
      </c>
      <c r="K55" s="221">
        <f t="shared" si="4"/>
        <v>212275.46000000002</v>
      </c>
    </row>
    <row r="56" spans="1:13" x14ac:dyDescent="0.25">
      <c r="A56" s="73" t="s">
        <v>86</v>
      </c>
      <c r="B56" s="222">
        <f t="shared" si="4"/>
        <v>10008</v>
      </c>
      <c r="C56" s="222">
        <f t="shared" si="4"/>
        <v>2023</v>
      </c>
      <c r="D56" s="222">
        <f t="shared" si="4"/>
        <v>525</v>
      </c>
      <c r="E56" s="222">
        <f t="shared" si="4"/>
        <v>12556</v>
      </c>
      <c r="F56" s="222">
        <f t="shared" si="4"/>
        <v>1510</v>
      </c>
      <c r="G56" s="222">
        <f>+G39-G48</f>
        <v>106023</v>
      </c>
      <c r="H56" s="222">
        <f t="shared" si="4"/>
        <v>566</v>
      </c>
      <c r="I56" s="222">
        <f t="shared" si="4"/>
        <v>3134</v>
      </c>
      <c r="J56" s="222">
        <f t="shared" si="4"/>
        <v>111233</v>
      </c>
      <c r="K56" s="221">
        <f t="shared" si="4"/>
        <v>123789</v>
      </c>
    </row>
    <row r="57" spans="1:13" x14ac:dyDescent="0.25">
      <c r="A57" s="73" t="s">
        <v>87</v>
      </c>
      <c r="B57" s="222">
        <f t="shared" si="4"/>
        <v>2381.44</v>
      </c>
      <c r="C57" s="222">
        <f t="shared" si="4"/>
        <v>15731.52</v>
      </c>
      <c r="D57" s="222">
        <f t="shared" si="4"/>
        <v>1985.9700000000003</v>
      </c>
      <c r="E57" s="222">
        <f t="shared" si="4"/>
        <v>20098.93</v>
      </c>
      <c r="F57" s="222">
        <f>+F40-F49</f>
        <v>1125.95</v>
      </c>
      <c r="G57" s="222">
        <f t="shared" si="4"/>
        <v>5707.66</v>
      </c>
      <c r="H57" s="225">
        <f t="shared" si="4"/>
        <v>30446.010000000002</v>
      </c>
      <c r="I57" s="222">
        <f t="shared" si="4"/>
        <v>14307.220000000001</v>
      </c>
      <c r="J57" s="222">
        <f t="shared" si="4"/>
        <v>51586.84</v>
      </c>
      <c r="K57" s="221">
        <f t="shared" si="4"/>
        <v>71685.77</v>
      </c>
    </row>
    <row r="58" spans="1:13" x14ac:dyDescent="0.25">
      <c r="A58" s="73" t="s">
        <v>88</v>
      </c>
      <c r="B58" s="222">
        <f t="shared" si="4"/>
        <v>566.4699999999998</v>
      </c>
      <c r="C58" s="222">
        <f t="shared" si="4"/>
        <v>2702.7499999999991</v>
      </c>
      <c r="D58" s="222">
        <f t="shared" si="4"/>
        <v>14405.970000000001</v>
      </c>
      <c r="E58" s="222">
        <f t="shared" si="4"/>
        <v>17675.189999999999</v>
      </c>
      <c r="F58" s="222">
        <f t="shared" si="4"/>
        <v>588.07000000000016</v>
      </c>
      <c r="G58" s="222">
        <f t="shared" si="4"/>
        <v>2425.87</v>
      </c>
      <c r="H58" s="222">
        <f t="shared" si="4"/>
        <v>4066.619999999999</v>
      </c>
      <c r="I58" s="222">
        <f t="shared" si="4"/>
        <v>7731.2200000000012</v>
      </c>
      <c r="J58" s="222">
        <f t="shared" si="4"/>
        <v>14811.78</v>
      </c>
      <c r="K58" s="221">
        <f>+K41-K50</f>
        <v>32486.97</v>
      </c>
    </row>
    <row r="59" spans="1:13" ht="15.75" thickBot="1" x14ac:dyDescent="0.3">
      <c r="A59" s="126" t="s">
        <v>90</v>
      </c>
      <c r="B59" s="224">
        <f t="shared" si="4"/>
        <v>19875.62</v>
      </c>
      <c r="C59" s="224">
        <f t="shared" si="4"/>
        <v>38498.379999999997</v>
      </c>
      <c r="D59" s="224">
        <f t="shared" si="4"/>
        <v>36544.31</v>
      </c>
      <c r="E59" s="224">
        <f t="shared" si="4"/>
        <v>94918.31</v>
      </c>
      <c r="F59" s="224">
        <f t="shared" si="4"/>
        <v>9847.64</v>
      </c>
      <c r="G59" s="224">
        <f t="shared" si="4"/>
        <v>130952.4</v>
      </c>
      <c r="H59" s="224">
        <f t="shared" si="4"/>
        <v>73697.91</v>
      </c>
      <c r="I59" s="224">
        <f t="shared" si="4"/>
        <v>130820.94</v>
      </c>
      <c r="J59" s="224">
        <f t="shared" si="4"/>
        <v>345318.89</v>
      </c>
      <c r="K59" s="223">
        <f>+K42-K51</f>
        <v>440237.2</v>
      </c>
      <c r="L59" s="110"/>
    </row>
    <row r="60" spans="1:13" ht="15.75" thickBot="1" x14ac:dyDescent="0.3">
      <c r="A60" s="73"/>
      <c r="B60" s="222"/>
      <c r="C60" s="222"/>
      <c r="D60" s="222"/>
      <c r="E60" s="222"/>
      <c r="F60" s="222"/>
      <c r="G60" s="222"/>
      <c r="H60" s="222"/>
      <c r="I60" s="222"/>
      <c r="J60" s="222"/>
      <c r="K60" s="221"/>
    </row>
    <row r="61" spans="1:13" s="337" customFormat="1" x14ac:dyDescent="0.25">
      <c r="A61" s="184" t="s">
        <v>480</v>
      </c>
      <c r="B61" s="607" t="s">
        <v>73</v>
      </c>
      <c r="C61" s="607"/>
      <c r="D61" s="607"/>
      <c r="E61" s="607"/>
      <c r="F61" s="607" t="s">
        <v>74</v>
      </c>
      <c r="G61" s="607"/>
      <c r="H61" s="607"/>
      <c r="I61" s="607"/>
      <c r="J61" s="607"/>
      <c r="K61" s="610"/>
    </row>
    <row r="62" spans="1:13" s="337" customFormat="1" ht="30" x14ac:dyDescent="0.25">
      <c r="A62" s="73"/>
      <c r="B62" s="215" t="s">
        <v>75</v>
      </c>
      <c r="C62" s="215" t="s">
        <v>76</v>
      </c>
      <c r="D62" s="215" t="s">
        <v>91</v>
      </c>
      <c r="E62" s="99" t="s">
        <v>78</v>
      </c>
      <c r="F62" s="215" t="s">
        <v>79</v>
      </c>
      <c r="G62" s="215" t="s">
        <v>80</v>
      </c>
      <c r="H62" s="215" t="s">
        <v>81</v>
      </c>
      <c r="I62" s="215" t="s">
        <v>82</v>
      </c>
      <c r="J62" s="99" t="s">
        <v>83</v>
      </c>
      <c r="K62" s="156" t="s">
        <v>84</v>
      </c>
      <c r="M62" s="282"/>
    </row>
    <row r="63" spans="1:13" s="337" customFormat="1" x14ac:dyDescent="0.25">
      <c r="A63" s="73" t="s">
        <v>85</v>
      </c>
      <c r="B63" s="217">
        <f>+B47/B38</f>
        <v>0.270303701360329</v>
      </c>
      <c r="C63" s="217">
        <f t="shared" ref="C63:K67" si="5">+C47/C38</f>
        <v>0.25884849231780466</v>
      </c>
      <c r="D63" s="217">
        <f t="shared" si="5"/>
        <v>0.29303857652271009</v>
      </c>
      <c r="E63" s="217">
        <f>+E47/E38</f>
        <v>0.27602471260635192</v>
      </c>
      <c r="F63" s="217">
        <f t="shared" si="5"/>
        <v>0.19596746783199806</v>
      </c>
      <c r="G63" s="217">
        <f t="shared" si="5"/>
        <v>0.26337134336213325</v>
      </c>
      <c r="H63" s="217">
        <f t="shared" si="5"/>
        <v>0.21799574769666902</v>
      </c>
      <c r="I63" s="217">
        <f t="shared" si="5"/>
        <v>0.27442705364439895</v>
      </c>
      <c r="J63" s="217">
        <f t="shared" si="5"/>
        <v>0.25812269113528674</v>
      </c>
      <c r="K63" s="220">
        <f t="shared" si="5"/>
        <v>0.26195605992649995</v>
      </c>
    </row>
    <row r="64" spans="1:13" s="337" customFormat="1" x14ac:dyDescent="0.25">
      <c r="A64" s="73" t="s">
        <v>86</v>
      </c>
      <c r="B64" s="217">
        <f t="shared" ref="B64:H67" si="6">+B48/B39</f>
        <v>0</v>
      </c>
      <c r="C64" s="217">
        <f t="shared" si="6"/>
        <v>0</v>
      </c>
      <c r="D64" s="103">
        <f t="shared" si="6"/>
        <v>0</v>
      </c>
      <c r="E64" s="103">
        <f t="shared" si="6"/>
        <v>0</v>
      </c>
      <c r="F64" s="103">
        <f t="shared" si="6"/>
        <v>0</v>
      </c>
      <c r="G64" s="103">
        <f t="shared" si="6"/>
        <v>0</v>
      </c>
      <c r="H64" s="103">
        <f t="shared" si="6"/>
        <v>0</v>
      </c>
      <c r="I64" s="217">
        <f>+I48/I39</f>
        <v>0</v>
      </c>
      <c r="J64" s="217">
        <f t="shared" si="5"/>
        <v>0</v>
      </c>
      <c r="K64" s="220">
        <f>+K48/K39</f>
        <v>0</v>
      </c>
      <c r="M64" s="282"/>
    </row>
    <row r="65" spans="1:15" s="337" customFormat="1" x14ac:dyDescent="0.25">
      <c r="A65" s="73" t="s">
        <v>87</v>
      </c>
      <c r="B65" s="217">
        <f t="shared" si="6"/>
        <v>2.9172441907867917E-2</v>
      </c>
      <c r="C65" s="217">
        <f>+C49/C40</f>
        <v>0.26676672104404564</v>
      </c>
      <c r="D65" s="103">
        <f>+D49/D40</f>
        <v>0.63024204058834477</v>
      </c>
      <c r="E65" s="103">
        <f t="shared" si="6"/>
        <v>0.31353768912872704</v>
      </c>
      <c r="F65" s="103">
        <f>+F49/F40</f>
        <v>8.085714285714285E-2</v>
      </c>
      <c r="G65" s="103">
        <f>+G49/G40</f>
        <v>3.5868243243243246E-2</v>
      </c>
      <c r="H65" s="103">
        <f t="shared" si="5"/>
        <v>0.18313989053444946</v>
      </c>
      <c r="I65" s="217">
        <f t="shared" si="5"/>
        <v>0.35660295903224354</v>
      </c>
      <c r="J65" s="217">
        <f t="shared" si="5"/>
        <v>0.22605034956641762</v>
      </c>
      <c r="K65" s="220">
        <f t="shared" si="5"/>
        <v>0.25275171213242575</v>
      </c>
    </row>
    <row r="66" spans="1:15" s="337" customFormat="1" x14ac:dyDescent="0.25">
      <c r="A66" s="73" t="s">
        <v>88</v>
      </c>
      <c r="B66" s="217">
        <f t="shared" si="6"/>
        <v>0.2229492455418384</v>
      </c>
      <c r="C66" s="217">
        <f>+C50/C41</f>
        <v>0.20390279823269541</v>
      </c>
      <c r="D66" s="217">
        <f t="shared" si="6"/>
        <v>0.17021081734923102</v>
      </c>
      <c r="E66" s="217">
        <f t="shared" si="6"/>
        <v>0.17732417966022809</v>
      </c>
      <c r="F66" s="217">
        <f t="shared" si="6"/>
        <v>0.2221296296296294</v>
      </c>
      <c r="G66" s="217">
        <f>+G50/G41</f>
        <v>0.14370984821743737</v>
      </c>
      <c r="H66" s="217">
        <f t="shared" si="5"/>
        <v>0.22065542353392123</v>
      </c>
      <c r="I66" s="217">
        <f t="shared" si="5"/>
        <v>0.19508381051535648</v>
      </c>
      <c r="J66" s="217">
        <f t="shared" si="5"/>
        <v>0.19553660656093852</v>
      </c>
      <c r="K66" s="220">
        <f t="shared" si="5"/>
        <v>0.18572900218061511</v>
      </c>
    </row>
    <row r="67" spans="1:15" s="337" customFormat="1" ht="15.75" thickBot="1" x14ac:dyDescent="0.3">
      <c r="A67" s="126" t="s">
        <v>90</v>
      </c>
      <c r="B67" s="219">
        <f t="shared" si="6"/>
        <v>0.12337934988753144</v>
      </c>
      <c r="C67" s="219">
        <f t="shared" si="6"/>
        <v>0.24829874060333887</v>
      </c>
      <c r="D67" s="219">
        <f t="shared" si="6"/>
        <v>0.28372579380635043</v>
      </c>
      <c r="E67" s="219">
        <f t="shared" si="6"/>
        <v>0.2400942293528037</v>
      </c>
      <c r="F67" s="219">
        <f t="shared" si="6"/>
        <v>0.16040242134879357</v>
      </c>
      <c r="G67" s="219">
        <f>+G51/G42</f>
        <v>4.8151944002267827E-2</v>
      </c>
      <c r="H67" s="219">
        <f t="shared" si="5"/>
        <v>0.20275732629460955</v>
      </c>
      <c r="I67" s="219">
        <f t="shared" si="5"/>
        <v>0.27556336975241302</v>
      </c>
      <c r="J67" s="219">
        <f t="shared" si="5"/>
        <v>0.18234818743636494</v>
      </c>
      <c r="K67" s="218">
        <f t="shared" si="5"/>
        <v>0.1955288192705916</v>
      </c>
    </row>
    <row r="68" spans="1:15" s="337" customFormat="1" x14ac:dyDescent="0.25">
      <c r="B68" s="217"/>
      <c r="C68" s="217"/>
      <c r="D68" s="217"/>
      <c r="E68" s="217"/>
      <c r="F68" s="217"/>
      <c r="G68" s="217"/>
      <c r="H68" s="217"/>
      <c r="I68" s="217"/>
      <c r="J68" s="217"/>
      <c r="K68" s="217"/>
    </row>
    <row r="69" spans="1:15" s="337" customFormat="1" x14ac:dyDescent="0.25">
      <c r="A69" s="1"/>
      <c r="B69" s="103"/>
      <c r="C69" s="110"/>
      <c r="D69" s="103"/>
      <c r="E69" s="217"/>
      <c r="F69" s="217"/>
      <c r="G69" s="217"/>
      <c r="H69" s="217"/>
      <c r="I69" s="217"/>
      <c r="J69" s="217"/>
      <c r="K69" s="217"/>
    </row>
    <row r="70" spans="1:15" s="337" customFormat="1" x14ac:dyDescent="0.25">
      <c r="A70" s="1"/>
      <c r="B70" s="103"/>
      <c r="C70" s="103"/>
      <c r="D70" s="103"/>
      <c r="E70" s="217"/>
      <c r="F70" s="217"/>
      <c r="G70" s="217"/>
      <c r="H70" s="217"/>
      <c r="I70" s="217"/>
      <c r="J70" s="217"/>
      <c r="K70" s="217"/>
    </row>
    <row r="71" spans="1:15" s="337" customFormat="1" x14ac:dyDescent="0.25">
      <c r="A71" s="1"/>
      <c r="B71" s="103"/>
      <c r="C71" s="103"/>
      <c r="D71" s="103"/>
      <c r="E71" s="217"/>
      <c r="F71" s="217"/>
      <c r="G71" s="217"/>
      <c r="H71" s="217"/>
      <c r="I71" s="217"/>
      <c r="J71" s="217"/>
      <c r="K71" s="217"/>
    </row>
    <row r="72" spans="1:15" s="337" customFormat="1" x14ac:dyDescent="0.25">
      <c r="B72" s="217"/>
      <c r="C72" s="217"/>
      <c r="D72" s="217"/>
      <c r="E72" s="217"/>
      <c r="F72" s="217"/>
      <c r="G72" s="217"/>
      <c r="H72" s="217"/>
      <c r="I72" s="217"/>
      <c r="J72" s="217"/>
      <c r="K72" s="217"/>
    </row>
    <row r="73" spans="1:15" s="337" customFormat="1" x14ac:dyDescent="0.25">
      <c r="B73" s="217"/>
      <c r="C73" s="217"/>
      <c r="D73" s="217"/>
      <c r="E73" s="217"/>
      <c r="F73" s="217"/>
      <c r="G73" s="217"/>
      <c r="H73" s="217"/>
      <c r="I73" s="217"/>
      <c r="J73" s="217"/>
      <c r="K73" s="217"/>
    </row>
    <row r="74" spans="1:15" s="337" customFormat="1" x14ac:dyDescent="0.25">
      <c r="B74" s="217"/>
      <c r="C74" s="217"/>
      <c r="D74" s="217"/>
      <c r="E74" s="217"/>
      <c r="F74" s="217"/>
      <c r="G74" s="217"/>
      <c r="H74" s="217"/>
      <c r="I74" s="217"/>
      <c r="J74" s="217"/>
      <c r="K74" s="217"/>
    </row>
    <row r="75" spans="1:15" s="337" customFormat="1" x14ac:dyDescent="0.25">
      <c r="B75" s="217"/>
      <c r="C75" s="217"/>
      <c r="D75" s="217"/>
      <c r="E75" s="217"/>
      <c r="F75" s="217"/>
      <c r="G75" s="217"/>
      <c r="H75" s="217"/>
      <c r="I75" s="217"/>
      <c r="J75" s="217"/>
      <c r="K75" s="217"/>
    </row>
    <row r="76" spans="1:15" s="337" customFormat="1" x14ac:dyDescent="0.25">
      <c r="B76" s="217"/>
      <c r="C76" s="217"/>
      <c r="D76" s="217"/>
      <c r="E76" s="217"/>
      <c r="F76" s="217"/>
      <c r="G76" s="217"/>
      <c r="H76" s="217"/>
      <c r="I76" s="217"/>
      <c r="J76" s="217"/>
      <c r="K76" s="217"/>
    </row>
    <row r="77" spans="1:15" s="337" customFormat="1" x14ac:dyDescent="0.25">
      <c r="B77" s="217"/>
      <c r="C77" s="217"/>
      <c r="D77" s="217"/>
      <c r="E77" s="217"/>
      <c r="F77" s="217"/>
      <c r="G77" s="217"/>
      <c r="H77" s="217"/>
      <c r="I77" s="217"/>
      <c r="J77" s="217"/>
      <c r="K77" s="217"/>
    </row>
    <row r="78" spans="1:15" hidden="1" x14ac:dyDescent="0.25">
      <c r="A78" s="73"/>
      <c r="B78" s="114"/>
      <c r="C78" s="216"/>
      <c r="D78" s="216"/>
      <c r="E78" s="114"/>
      <c r="F78" s="114"/>
      <c r="G78" s="114"/>
      <c r="H78" s="114"/>
      <c r="I78" s="114"/>
      <c r="J78" s="46"/>
      <c r="K78" s="57"/>
    </row>
    <row r="79" spans="1:15" hidden="1" x14ac:dyDescent="0.25">
      <c r="A79" s="204" t="s">
        <v>92</v>
      </c>
      <c r="B79" s="607" t="s">
        <v>73</v>
      </c>
      <c r="C79" s="607"/>
      <c r="D79" s="607"/>
      <c r="E79" s="607"/>
      <c r="F79" s="607" t="s">
        <v>74</v>
      </c>
      <c r="G79" s="607"/>
      <c r="H79" s="607"/>
      <c r="I79" s="607"/>
      <c r="J79" s="607"/>
      <c r="K79" s="610"/>
    </row>
    <row r="80" spans="1:15" ht="37.5" hidden="1" customHeight="1" x14ac:dyDescent="0.25">
      <c r="A80" s="73"/>
      <c r="B80" s="215" t="s">
        <v>75</v>
      </c>
      <c r="C80" s="215" t="s">
        <v>76</v>
      </c>
      <c r="D80" s="215" t="s">
        <v>91</v>
      </c>
      <c r="E80" s="99" t="s">
        <v>78</v>
      </c>
      <c r="F80" s="215" t="s">
        <v>79</v>
      </c>
      <c r="G80" s="215" t="s">
        <v>80</v>
      </c>
      <c r="H80" s="215" t="s">
        <v>93</v>
      </c>
      <c r="I80" s="215" t="s">
        <v>82</v>
      </c>
      <c r="J80" s="99" t="s">
        <v>83</v>
      </c>
      <c r="K80" s="156" t="s">
        <v>84</v>
      </c>
      <c r="L80" s="63" t="s">
        <v>63</v>
      </c>
      <c r="M80" s="214"/>
      <c r="N80" s="75"/>
      <c r="O80" s="75"/>
    </row>
    <row r="81" spans="1:17" hidden="1" x14ac:dyDescent="0.25">
      <c r="A81" s="73" t="s">
        <v>85</v>
      </c>
      <c r="B81" s="101">
        <f>B38*G4</f>
        <v>10345.090909090908</v>
      </c>
      <c r="C81" s="101">
        <f>C47*G4</f>
        <v>6873.6981818181821</v>
      </c>
      <c r="D81" s="101">
        <f>D47*G4</f>
        <v>8875.2327272727271</v>
      </c>
      <c r="E81" s="130">
        <f>B81+C81+D81</f>
        <v>26094.021818181816</v>
      </c>
      <c r="F81" s="101">
        <f>F47*G4</f>
        <v>1761.1418181818183</v>
      </c>
      <c r="G81" s="130">
        <f>G47*G4</f>
        <v>6551.050909090909</v>
      </c>
      <c r="H81" s="101">
        <f>H47*G4</f>
        <v>11744.421818181816</v>
      </c>
      <c r="I81" s="130">
        <f>I47*G4</f>
        <v>43591.090909090904</v>
      </c>
      <c r="J81" s="101">
        <f>SUM(F81:I81)</f>
        <v>63647.705454545445</v>
      </c>
      <c r="K81" s="57">
        <f>J81+E81</f>
        <v>89741.727272727265</v>
      </c>
      <c r="L81" s="205">
        <f>+K81/K38</f>
        <v>0.3120159908515337</v>
      </c>
      <c r="M81" s="200"/>
    </row>
    <row r="82" spans="1:17" hidden="1" x14ac:dyDescent="0.25">
      <c r="A82" s="73" t="s">
        <v>86</v>
      </c>
      <c r="B82" s="106">
        <f>B39*G4</f>
        <v>10917.81818181818</v>
      </c>
      <c r="C82" s="47">
        <f>C48*G4</f>
        <v>0</v>
      </c>
      <c r="D82" s="47">
        <f>D48*G4</f>
        <v>0</v>
      </c>
      <c r="E82" s="47">
        <f>SUM(B82:D82)</f>
        <v>10917.81818181818</v>
      </c>
      <c r="F82" s="47">
        <f>F48*G4</f>
        <v>0</v>
      </c>
      <c r="G82" s="213">
        <f>4*3*160</f>
        <v>1920</v>
      </c>
      <c r="H82" s="47">
        <f>H48*G4</f>
        <v>0</v>
      </c>
      <c r="I82" s="47">
        <f>I48*G4</f>
        <v>0</v>
      </c>
      <c r="J82" s="210">
        <f>SUM(F82:I82)</f>
        <v>1920</v>
      </c>
      <c r="K82" s="57">
        <f>J82+E82</f>
        <v>12837.81818181818</v>
      </c>
      <c r="L82" s="205">
        <f>+K82/K39</f>
        <v>0.10370726140301788</v>
      </c>
      <c r="M82" s="200"/>
      <c r="N82" s="75"/>
      <c r="O82" s="75"/>
    </row>
    <row r="83" spans="1:17" hidden="1" x14ac:dyDescent="0.25">
      <c r="A83" s="73" t="s">
        <v>87</v>
      </c>
      <c r="B83" s="47">
        <f>B40*G4</f>
        <v>2676</v>
      </c>
      <c r="C83" s="47">
        <f>C49*G4</f>
        <v>6243.7963636363629</v>
      </c>
      <c r="D83" s="47">
        <f>D49*G4</f>
        <v>3692.7599999999993</v>
      </c>
      <c r="E83" s="47">
        <f>SUM(B83:D83)</f>
        <v>12612.556363636362</v>
      </c>
      <c r="F83" s="47">
        <f>F49*G4</f>
        <v>108.05454545454545</v>
      </c>
      <c r="G83" s="212">
        <v>85773</v>
      </c>
      <c r="H83" s="47">
        <f>H49*G4+2000</f>
        <v>9446.5345454545459</v>
      </c>
      <c r="I83" s="47">
        <f>I49*G4</f>
        <v>8650.6690909090903</v>
      </c>
      <c r="J83" s="210">
        <f>SUM(F83:I83)</f>
        <v>103978.25818181818</v>
      </c>
      <c r="K83" s="57">
        <f>J83+E83</f>
        <v>116590.81454545454</v>
      </c>
      <c r="L83" s="205">
        <f>+K83/K40</f>
        <v>1.215335854663719</v>
      </c>
      <c r="M83" s="200"/>
      <c r="P83" s="75"/>
      <c r="Q83" s="75"/>
    </row>
    <row r="84" spans="1:17" hidden="1" x14ac:dyDescent="0.25">
      <c r="A84" s="73" t="s">
        <v>88</v>
      </c>
      <c r="B84" s="47">
        <f>B41*G4</f>
        <v>795.27272727272725</v>
      </c>
      <c r="C84" s="106">
        <f>C50*G4+1000</f>
        <v>1755.1818181818192</v>
      </c>
      <c r="D84" s="106">
        <f>D50*G4</f>
        <v>3223.6690909090903</v>
      </c>
      <c r="E84" s="106">
        <f>SUM(B84:D84)</f>
        <v>5774.1236363636363</v>
      </c>
      <c r="F84" s="106">
        <f>F50*G4</f>
        <v>183.19636363636346</v>
      </c>
      <c r="G84" s="106">
        <f>G50*G4</f>
        <v>444.14181818181828</v>
      </c>
      <c r="H84" s="211">
        <f>H50*G4+5000</f>
        <v>6256.05090909091</v>
      </c>
      <c r="I84" s="106">
        <f>I50*G4</f>
        <v>2044.1236363636349</v>
      </c>
      <c r="J84" s="210">
        <f>SUM(F84:I84)</f>
        <v>8927.5127272727259</v>
      </c>
      <c r="K84" s="57">
        <f>J84+E84</f>
        <v>14701.636363636362</v>
      </c>
      <c r="L84" s="205">
        <f>+K84/K41</f>
        <v>0.36848977024930102</v>
      </c>
      <c r="M84" s="200"/>
      <c r="P84" s="75"/>
    </row>
    <row r="85" spans="1:17" ht="15.75" hidden="1" thickBot="1" x14ac:dyDescent="0.3">
      <c r="A85" s="126" t="s">
        <v>94</v>
      </c>
      <c r="B85" s="208">
        <f t="shared" ref="B85:I85" si="7">SUM(B81:B84)</f>
        <v>24734.181818181816</v>
      </c>
      <c r="C85" s="209">
        <f t="shared" si="7"/>
        <v>14872.676363636365</v>
      </c>
      <c r="D85" s="209">
        <f t="shared" si="7"/>
        <v>15791.661818181816</v>
      </c>
      <c r="E85" s="208">
        <f t="shared" si="7"/>
        <v>55398.52</v>
      </c>
      <c r="F85" s="208">
        <f t="shared" si="7"/>
        <v>2052.3927272727269</v>
      </c>
      <c r="G85" s="208">
        <f t="shared" si="7"/>
        <v>94688.192727272719</v>
      </c>
      <c r="H85" s="208">
        <f t="shared" si="7"/>
        <v>27447.007272727271</v>
      </c>
      <c r="I85" s="208">
        <f t="shared" si="7"/>
        <v>54285.883636363629</v>
      </c>
      <c r="J85" s="207">
        <f>SUM(F85:I85)</f>
        <v>178473.47636363635</v>
      </c>
      <c r="K85" s="206">
        <f>J85+E85</f>
        <v>233871.99636363634</v>
      </c>
      <c r="L85" s="205"/>
      <c r="M85" s="200"/>
      <c r="P85" s="75"/>
    </row>
    <row r="86" spans="1:17" hidden="1" x14ac:dyDescent="0.25">
      <c r="A86" s="204" t="s">
        <v>95</v>
      </c>
      <c r="B86" s="607" t="s">
        <v>73</v>
      </c>
      <c r="C86" s="607"/>
      <c r="D86" s="607"/>
      <c r="E86" s="607"/>
      <c r="F86" s="607" t="s">
        <v>74</v>
      </c>
      <c r="G86" s="607"/>
      <c r="H86" s="607"/>
      <c r="I86" s="607"/>
      <c r="J86" s="607"/>
      <c r="K86" s="610"/>
      <c r="L86" s="117"/>
      <c r="M86" s="337"/>
    </row>
    <row r="87" spans="1:17" hidden="1" x14ac:dyDescent="0.25">
      <c r="A87" s="73" t="s">
        <v>85</v>
      </c>
      <c r="B87" s="46" t="e">
        <f>#REF!-B81</f>
        <v>#REF!</v>
      </c>
      <c r="C87" s="46">
        <f t="shared" ref="C87:J91" si="8">C38-C81</f>
        <v>17468.301818181819</v>
      </c>
      <c r="D87" s="48">
        <f t="shared" si="8"/>
        <v>18887.767272727273</v>
      </c>
      <c r="E87" s="48">
        <f t="shared" si="8"/>
        <v>35493.97818181818</v>
      </c>
      <c r="F87" s="48">
        <f t="shared" si="8"/>
        <v>6476.8581818181819</v>
      </c>
      <c r="G87" s="48">
        <f t="shared" si="8"/>
        <v>16249.949090909091</v>
      </c>
      <c r="H87" s="48">
        <f t="shared" si="8"/>
        <v>37640.578181818186</v>
      </c>
      <c r="I87" s="48">
        <f t="shared" si="8"/>
        <v>102015.90909090909</v>
      </c>
      <c r="J87" s="46">
        <f t="shared" si="8"/>
        <v>162383.29454545456</v>
      </c>
      <c r="K87" s="57">
        <f>J87+E87</f>
        <v>197877.27272727274</v>
      </c>
      <c r="L87" s="117"/>
      <c r="M87" s="337"/>
    </row>
    <row r="88" spans="1:17" hidden="1" x14ac:dyDescent="0.25">
      <c r="A88" s="73" t="s">
        <v>86</v>
      </c>
      <c r="B88" s="47" t="e">
        <f>#REF!-B82</f>
        <v>#REF!</v>
      </c>
      <c r="C88" s="47">
        <f t="shared" si="8"/>
        <v>2023</v>
      </c>
      <c r="D88" s="47">
        <f t="shared" si="8"/>
        <v>525</v>
      </c>
      <c r="E88" s="47">
        <f t="shared" si="8"/>
        <v>1638.1818181818198</v>
      </c>
      <c r="F88" s="47">
        <f t="shared" si="8"/>
        <v>1510</v>
      </c>
      <c r="G88" s="47">
        <f t="shared" si="8"/>
        <v>104103</v>
      </c>
      <c r="H88" s="47">
        <f t="shared" si="8"/>
        <v>566</v>
      </c>
      <c r="I88" s="47">
        <f t="shared" si="8"/>
        <v>3134</v>
      </c>
      <c r="J88" s="47">
        <f t="shared" si="8"/>
        <v>109313</v>
      </c>
      <c r="K88" s="57">
        <f>J88+E88</f>
        <v>110951.18181818182</v>
      </c>
      <c r="L88" s="117"/>
      <c r="M88" s="337"/>
    </row>
    <row r="89" spans="1:17" hidden="1" x14ac:dyDescent="0.25">
      <c r="A89" s="73" t="s">
        <v>87</v>
      </c>
      <c r="B89" s="47" t="e">
        <f>#REF!-B83</f>
        <v>#REF!</v>
      </c>
      <c r="C89" s="47">
        <f t="shared" si="8"/>
        <v>15211.203636363636</v>
      </c>
      <c r="D89" s="47">
        <f t="shared" si="8"/>
        <v>1678.2400000000007</v>
      </c>
      <c r="E89" s="47">
        <f t="shared" si="8"/>
        <v>16666.443636363638</v>
      </c>
      <c r="F89" s="47">
        <f t="shared" si="8"/>
        <v>1116.9454545454546</v>
      </c>
      <c r="G89" s="47">
        <f t="shared" si="8"/>
        <v>-79853</v>
      </c>
      <c r="H89" s="47">
        <f t="shared" si="8"/>
        <v>27825.465454545454</v>
      </c>
      <c r="I89" s="47">
        <f t="shared" si="8"/>
        <v>13586.33090909091</v>
      </c>
      <c r="J89" s="47">
        <f t="shared" si="8"/>
        <v>-37324.258181818179</v>
      </c>
      <c r="K89" s="57">
        <f>J89+E89</f>
        <v>-20657.814545454541</v>
      </c>
      <c r="L89" s="117"/>
      <c r="M89" s="337"/>
    </row>
    <row r="90" spans="1:17" hidden="1" x14ac:dyDescent="0.25">
      <c r="A90" s="73" t="s">
        <v>88</v>
      </c>
      <c r="B90" s="47" t="e">
        <f>#REF!-B84</f>
        <v>#REF!</v>
      </c>
      <c r="C90" s="203">
        <f t="shared" si="8"/>
        <v>1639.8181818181808</v>
      </c>
      <c r="D90" s="47">
        <f t="shared" si="8"/>
        <v>14137.33090909091</v>
      </c>
      <c r="E90" s="47">
        <f t="shared" si="8"/>
        <v>15710.876363636364</v>
      </c>
      <c r="F90" s="47">
        <f t="shared" si="8"/>
        <v>572.80363636363654</v>
      </c>
      <c r="G90" s="47">
        <f t="shared" si="8"/>
        <v>2388.8581818181819</v>
      </c>
      <c r="H90" s="47">
        <f t="shared" si="8"/>
        <v>-1038.05090909091</v>
      </c>
      <c r="I90" s="47">
        <f t="shared" si="8"/>
        <v>7560.8763636363656</v>
      </c>
      <c r="J90" s="47">
        <f t="shared" si="8"/>
        <v>9484.4872727272741</v>
      </c>
      <c r="K90" s="57">
        <f>J90+E90</f>
        <v>25195.36363636364</v>
      </c>
      <c r="L90" s="117"/>
      <c r="M90" s="337"/>
    </row>
    <row r="91" spans="1:17" hidden="1" x14ac:dyDescent="0.25">
      <c r="A91" s="73" t="s">
        <v>96</v>
      </c>
      <c r="B91" s="46" t="e">
        <f>#REF!-B85</f>
        <v>#REF!</v>
      </c>
      <c r="C91" s="46">
        <f t="shared" si="8"/>
        <v>36342.323636363639</v>
      </c>
      <c r="D91" s="46">
        <f t="shared" si="8"/>
        <v>35228.338181818181</v>
      </c>
      <c r="E91" s="46">
        <f t="shared" si="8"/>
        <v>69509.48000000001</v>
      </c>
      <c r="F91" s="46">
        <f t="shared" si="8"/>
        <v>9676.6072727272731</v>
      </c>
      <c r="G91" s="46">
        <f t="shared" si="8"/>
        <v>42888.807272727281</v>
      </c>
      <c r="H91" s="46">
        <f t="shared" si="8"/>
        <v>64993.992727272729</v>
      </c>
      <c r="I91" s="46">
        <f t="shared" si="8"/>
        <v>126297.11636363636</v>
      </c>
      <c r="J91" s="46">
        <f t="shared" si="8"/>
        <v>243856.52363636365</v>
      </c>
      <c r="K91" s="57">
        <f>J91+E91</f>
        <v>313366.00363636366</v>
      </c>
      <c r="L91" s="117"/>
      <c r="M91" s="337"/>
    </row>
    <row r="92" spans="1:17" ht="3.75" hidden="1" customHeight="1" x14ac:dyDescent="0.25">
      <c r="A92" s="73"/>
      <c r="B92" s="337"/>
      <c r="C92" s="337"/>
      <c r="D92" s="337"/>
      <c r="E92" s="337"/>
      <c r="F92" s="337"/>
      <c r="G92" s="337"/>
      <c r="H92" s="337"/>
      <c r="I92" s="337"/>
      <c r="J92" s="337"/>
      <c r="K92" s="59"/>
      <c r="L92" s="117"/>
      <c r="M92" s="337"/>
    </row>
    <row r="93" spans="1:17" hidden="1" x14ac:dyDescent="0.25">
      <c r="A93" s="73"/>
      <c r="B93" s="337"/>
      <c r="C93" s="337"/>
      <c r="D93" s="1"/>
      <c r="E93" s="1"/>
      <c r="F93" s="337"/>
      <c r="G93" s="337"/>
      <c r="H93" s="337"/>
      <c r="I93" s="337"/>
      <c r="J93" s="337"/>
      <c r="K93" s="85"/>
      <c r="L93" s="117"/>
      <c r="M93" s="337"/>
    </row>
    <row r="94" spans="1:17" ht="15.75" hidden="1" thickBot="1" x14ac:dyDescent="0.3">
      <c r="A94" s="126"/>
      <c r="B94" s="202"/>
      <c r="C94" s="202"/>
      <c r="D94" s="202"/>
      <c r="E94" s="202"/>
      <c r="F94" s="202"/>
      <c r="G94" s="202"/>
      <c r="H94" s="202"/>
      <c r="I94" s="202" t="s">
        <v>94</v>
      </c>
      <c r="J94" s="202"/>
      <c r="K94" s="145">
        <f>K85+K93</f>
        <v>233871.99636363634</v>
      </c>
      <c r="L94" s="201">
        <f>+K94/K42</f>
        <v>0.42736797584165637</v>
      </c>
      <c r="M94" s="200"/>
    </row>
    <row r="95" spans="1:17" hidden="1" x14ac:dyDescent="0.25">
      <c r="A95" s="337"/>
      <c r="B95" s="337"/>
      <c r="C95" s="337"/>
      <c r="D95" s="337"/>
      <c r="E95" s="337"/>
      <c r="F95" s="337"/>
      <c r="G95" s="337"/>
      <c r="H95" s="337"/>
      <c r="I95" s="337"/>
      <c r="J95" s="337"/>
      <c r="K95" s="337"/>
    </row>
    <row r="96" spans="1:17" hidden="1" x14ac:dyDescent="0.25">
      <c r="A96" s="146" t="s">
        <v>97</v>
      </c>
      <c r="K96" s="75"/>
    </row>
    <row r="97" spans="1:11" hidden="1" x14ac:dyDescent="0.25">
      <c r="A97" s="199" t="s">
        <v>98</v>
      </c>
      <c r="H97" s="198"/>
      <c r="K97" s="75"/>
    </row>
    <row r="98" spans="1:11" hidden="1" x14ac:dyDescent="0.25">
      <c r="A98" s="197" t="s">
        <v>99</v>
      </c>
      <c r="B98" s="197"/>
      <c r="C98" s="197"/>
    </row>
    <row r="99" spans="1:11" hidden="1" x14ac:dyDescent="0.25">
      <c r="A99" s="196" t="s">
        <v>100</v>
      </c>
      <c r="B99" s="196"/>
      <c r="C99" s="196"/>
      <c r="K99" s="75"/>
    </row>
    <row r="100" spans="1:11" hidden="1" x14ac:dyDescent="0.25">
      <c r="A100" s="195" t="s">
        <v>101</v>
      </c>
      <c r="B100" s="195"/>
      <c r="C100" s="195"/>
      <c r="D100" s="195"/>
    </row>
    <row r="101" spans="1:11" hidden="1" x14ac:dyDescent="0.25">
      <c r="A101" s="86" t="s">
        <v>102</v>
      </c>
    </row>
    <row r="102" spans="1:11" hidden="1" x14ac:dyDescent="0.25"/>
  </sheetData>
  <mergeCells count="13">
    <mergeCell ref="B86:E86"/>
    <mergeCell ref="F45:K45"/>
    <mergeCell ref="F79:K79"/>
    <mergeCell ref="F86:K86"/>
    <mergeCell ref="H32:L32"/>
    <mergeCell ref="B36:E36"/>
    <mergeCell ref="F36:K36"/>
    <mergeCell ref="B45:E45"/>
    <mergeCell ref="B79:E79"/>
    <mergeCell ref="B53:E53"/>
    <mergeCell ref="F53:K53"/>
    <mergeCell ref="B61:E61"/>
    <mergeCell ref="F61:K61"/>
  </mergeCells>
  <pageMargins left="0.25" right="0.25" top="0.25" bottom="0.25" header="0.3" footer="0.3"/>
  <pageSetup scale="77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2"/>
  <sheetViews>
    <sheetView zoomScale="120" zoomScaleNormal="120" workbookViewId="0">
      <pane xSplit="7" ySplit="3" topLeftCell="R31" activePane="bottomRight" state="frozenSplit"/>
      <selection pane="topRight" activeCell="H1" sqref="H1"/>
      <selection pane="bottomLeft" activeCell="A4" sqref="A4"/>
      <selection pane="bottomRight" activeCell="A37" sqref="A37:XFD37"/>
    </sheetView>
  </sheetViews>
  <sheetFormatPr defaultRowHeight="15" x14ac:dyDescent="0.25"/>
  <cols>
    <col min="1" max="6" width="3" style="361" customWidth="1"/>
    <col min="7" max="7" width="28.5703125" style="361" customWidth="1"/>
    <col min="8" max="8" width="16.42578125" style="362" bestFit="1" customWidth="1"/>
    <col min="9" max="9" width="2.28515625" style="362" customWidth="1"/>
    <col min="10" max="10" width="21.42578125" style="362" bestFit="1" customWidth="1"/>
    <col min="11" max="11" width="2.28515625" style="362" customWidth="1"/>
    <col min="12" max="12" width="19.7109375" style="362" bestFit="1" customWidth="1"/>
    <col min="13" max="13" width="2.28515625" style="362" customWidth="1"/>
    <col min="14" max="14" width="15.42578125" style="362" bestFit="1" customWidth="1"/>
    <col min="15" max="15" width="2.28515625" style="362" customWidth="1"/>
    <col min="16" max="16" width="20.28515625" style="362" bestFit="1" customWidth="1"/>
    <col min="17" max="17" width="2.28515625" style="362" customWidth="1"/>
    <col min="18" max="18" width="25.140625" style="362" bestFit="1" customWidth="1"/>
    <col min="19" max="19" width="2.28515625" style="362" customWidth="1"/>
    <col min="20" max="20" width="23.5703125" style="362" bestFit="1" customWidth="1"/>
    <col min="21" max="21" width="2.28515625" style="362" customWidth="1"/>
    <col min="22" max="22" width="15" style="362" bestFit="1" customWidth="1"/>
    <col min="23" max="23" width="2.28515625" style="362" customWidth="1"/>
    <col min="24" max="24" width="16.42578125" style="362" bestFit="1" customWidth="1"/>
    <col min="25" max="25" width="2.28515625" style="362" customWidth="1"/>
    <col min="26" max="26" width="9.85546875" style="362" bestFit="1" customWidth="1"/>
    <col min="27" max="27" width="2.28515625" style="362" customWidth="1"/>
    <col min="28" max="28" width="10.5703125" style="362" bestFit="1" customWidth="1"/>
    <col min="29" max="29" width="2.28515625" style="362" customWidth="1"/>
    <col min="30" max="30" width="14" style="362" bestFit="1" customWidth="1"/>
    <col min="31" max="31" width="2.28515625" style="362" customWidth="1"/>
    <col min="32" max="32" width="27.28515625" style="362" bestFit="1" customWidth="1"/>
    <col min="33" max="33" width="2.28515625" style="362" customWidth="1"/>
    <col min="34" max="34" width="20.140625" style="362" bestFit="1" customWidth="1"/>
    <col min="35" max="35" width="2.28515625" style="362" customWidth="1"/>
    <col min="36" max="36" width="18.42578125" style="362" bestFit="1" customWidth="1"/>
    <col min="37" max="37" width="2.28515625" style="362" customWidth="1"/>
    <col min="38" max="38" width="16.7109375" style="362" bestFit="1" customWidth="1"/>
    <col min="39" max="39" width="2.28515625" style="362" customWidth="1"/>
    <col min="40" max="40" width="17.28515625" style="362" bestFit="1" customWidth="1"/>
    <col min="41" max="41" width="2.28515625" style="362" customWidth="1"/>
    <col min="42" max="42" width="14.42578125" style="362" bestFit="1" customWidth="1"/>
    <col min="43" max="43" width="2.28515625" style="362" customWidth="1"/>
    <col min="44" max="44" width="14.42578125" style="362" bestFit="1" customWidth="1"/>
    <col min="45" max="45" width="2.28515625" style="362" customWidth="1"/>
    <col min="46" max="46" width="14.42578125" style="362" bestFit="1" customWidth="1"/>
    <col min="47" max="47" width="2.28515625" style="362" customWidth="1"/>
    <col min="48" max="48" width="17.7109375" style="362" bestFit="1" customWidth="1"/>
    <col min="49" max="49" width="2.28515625" style="362" customWidth="1"/>
    <col min="50" max="50" width="10.5703125" style="362" bestFit="1" customWidth="1"/>
    <col min="51" max="51" width="2.28515625" style="362" customWidth="1"/>
    <col min="52" max="52" width="8.7109375" style="362" bestFit="1" customWidth="1"/>
    <col min="53" max="16384" width="9.140625" style="360"/>
  </cols>
  <sheetData>
    <row r="1" spans="1:52" s="364" customFormat="1" x14ac:dyDescent="0.25">
      <c r="A1" s="363"/>
      <c r="B1" s="363"/>
      <c r="C1" s="363"/>
      <c r="D1" s="363"/>
      <c r="E1" s="363"/>
      <c r="F1" s="363"/>
      <c r="G1" s="363"/>
      <c r="H1" s="363" t="s">
        <v>103</v>
      </c>
      <c r="I1" s="272"/>
      <c r="J1" s="363" t="s">
        <v>104</v>
      </c>
      <c r="K1" s="272"/>
      <c r="L1" s="272"/>
      <c r="M1" s="272"/>
      <c r="N1" s="272"/>
      <c r="O1" s="272"/>
      <c r="P1" s="363" t="s">
        <v>105</v>
      </c>
      <c r="Q1" s="272"/>
      <c r="R1" s="363" t="s">
        <v>106</v>
      </c>
      <c r="S1" s="272"/>
      <c r="T1" s="363" t="s">
        <v>107</v>
      </c>
      <c r="U1" s="272"/>
      <c r="V1" s="363" t="s">
        <v>108</v>
      </c>
      <c r="W1" s="272"/>
      <c r="X1" s="363" t="s">
        <v>467</v>
      </c>
      <c r="Y1" s="272"/>
      <c r="Z1" s="363" t="s">
        <v>109</v>
      </c>
      <c r="AA1" s="272"/>
      <c r="AB1" s="363" t="s">
        <v>110</v>
      </c>
      <c r="AC1" s="272"/>
      <c r="AD1" s="363" t="s">
        <v>111</v>
      </c>
      <c r="AE1" s="272"/>
      <c r="AF1" s="363" t="s">
        <v>112</v>
      </c>
      <c r="AG1" s="272"/>
      <c r="AH1" s="363" t="s">
        <v>113</v>
      </c>
      <c r="AI1" s="272"/>
      <c r="AJ1" s="363" t="s">
        <v>114</v>
      </c>
      <c r="AK1" s="272"/>
      <c r="AL1" s="363" t="s">
        <v>115</v>
      </c>
      <c r="AM1" s="272"/>
      <c r="AN1" s="272"/>
      <c r="AO1" s="272"/>
      <c r="AP1" s="363" t="s">
        <v>116</v>
      </c>
      <c r="AQ1" s="272"/>
      <c r="AR1" s="363" t="s">
        <v>117</v>
      </c>
      <c r="AS1" s="272"/>
      <c r="AT1" s="363" t="s">
        <v>118</v>
      </c>
      <c r="AU1" s="272"/>
      <c r="AV1" s="272"/>
      <c r="AW1" s="272"/>
      <c r="AX1" s="272"/>
      <c r="AY1" s="272"/>
      <c r="AZ1" s="272"/>
    </row>
    <row r="2" spans="1:52" s="364" customFormat="1" ht="15.75" thickBot="1" x14ac:dyDescent="0.3">
      <c r="A2" s="363"/>
      <c r="B2" s="363"/>
      <c r="C2" s="363"/>
      <c r="D2" s="363"/>
      <c r="E2" s="363"/>
      <c r="F2" s="363"/>
      <c r="G2" s="363"/>
      <c r="H2" s="301" t="s">
        <v>119</v>
      </c>
      <c r="I2" s="272"/>
      <c r="J2" s="301" t="s">
        <v>119</v>
      </c>
      <c r="K2" s="272"/>
      <c r="L2" s="301" t="s">
        <v>120</v>
      </c>
      <c r="M2" s="272"/>
      <c r="N2" s="301" t="s">
        <v>328</v>
      </c>
      <c r="O2" s="272"/>
      <c r="P2" s="301" t="s">
        <v>122</v>
      </c>
      <c r="Q2" s="272"/>
      <c r="R2" s="301" t="s">
        <v>122</v>
      </c>
      <c r="S2" s="272"/>
      <c r="T2" s="301" t="s">
        <v>123</v>
      </c>
      <c r="U2" s="272"/>
      <c r="V2" s="301" t="s">
        <v>123</v>
      </c>
      <c r="W2" s="272"/>
      <c r="X2" s="301" t="s">
        <v>123</v>
      </c>
      <c r="Y2" s="272"/>
      <c r="Z2" s="301" t="s">
        <v>124</v>
      </c>
      <c r="AA2" s="272"/>
      <c r="AB2" s="301" t="s">
        <v>124</v>
      </c>
      <c r="AC2" s="272"/>
      <c r="AD2" s="301" t="s">
        <v>123</v>
      </c>
      <c r="AE2" s="272"/>
      <c r="AF2" s="301" t="s">
        <v>125</v>
      </c>
      <c r="AG2" s="272"/>
      <c r="AH2" s="301" t="s">
        <v>125</v>
      </c>
      <c r="AI2" s="272"/>
      <c r="AJ2" s="301" t="s">
        <v>125</v>
      </c>
      <c r="AK2" s="272"/>
      <c r="AL2" s="301" t="s">
        <v>123</v>
      </c>
      <c r="AM2" s="272"/>
      <c r="AN2" s="301" t="s">
        <v>126</v>
      </c>
      <c r="AO2" s="272"/>
      <c r="AP2" s="301" t="s">
        <v>127</v>
      </c>
      <c r="AQ2" s="272"/>
      <c r="AR2" s="301" t="s">
        <v>127</v>
      </c>
      <c r="AS2" s="272"/>
      <c r="AT2" s="301" t="s">
        <v>127</v>
      </c>
      <c r="AU2" s="272"/>
      <c r="AV2" s="301" t="s">
        <v>128</v>
      </c>
      <c r="AW2" s="272"/>
      <c r="AX2" s="301" t="s">
        <v>468</v>
      </c>
      <c r="AY2" s="272"/>
      <c r="AZ2" s="301" t="s">
        <v>129</v>
      </c>
    </row>
    <row r="3" spans="1:52" ht="15.75" thickTop="1" x14ac:dyDescent="0.25">
      <c r="A3" s="369"/>
      <c r="B3" s="369" t="s">
        <v>130</v>
      </c>
      <c r="C3" s="369"/>
      <c r="D3" s="369"/>
      <c r="E3" s="369"/>
      <c r="F3" s="369"/>
      <c r="G3" s="369"/>
      <c r="H3" s="366"/>
      <c r="I3" s="274"/>
      <c r="J3" s="366"/>
      <c r="K3" s="274"/>
      <c r="L3" s="366"/>
      <c r="M3" s="274"/>
      <c r="N3" s="366"/>
      <c r="O3" s="274"/>
      <c r="P3" s="366"/>
      <c r="Q3" s="274"/>
      <c r="R3" s="366"/>
      <c r="S3" s="274"/>
      <c r="T3" s="366"/>
      <c r="U3" s="274"/>
      <c r="V3" s="366"/>
      <c r="W3" s="274"/>
      <c r="X3" s="366"/>
      <c r="Y3" s="274"/>
      <c r="Z3" s="366"/>
      <c r="AA3" s="274"/>
      <c r="AB3" s="366"/>
      <c r="AC3" s="274"/>
      <c r="AD3" s="366"/>
      <c r="AE3" s="274"/>
      <c r="AF3" s="366"/>
      <c r="AG3" s="274"/>
      <c r="AH3" s="366"/>
      <c r="AI3" s="274"/>
      <c r="AJ3" s="366"/>
      <c r="AK3" s="274"/>
      <c r="AL3" s="366"/>
      <c r="AM3" s="274"/>
      <c r="AN3" s="366"/>
      <c r="AO3" s="274"/>
      <c r="AP3" s="366"/>
      <c r="AQ3" s="274"/>
      <c r="AR3" s="366"/>
      <c r="AS3" s="274"/>
      <c r="AT3" s="366"/>
      <c r="AU3" s="274"/>
      <c r="AV3" s="366"/>
      <c r="AW3" s="274"/>
      <c r="AX3" s="366"/>
      <c r="AY3" s="274"/>
      <c r="AZ3" s="366"/>
    </row>
    <row r="4" spans="1:52" x14ac:dyDescent="0.25">
      <c r="A4" s="369"/>
      <c r="B4" s="369"/>
      <c r="C4" s="369"/>
      <c r="D4" s="369" t="s">
        <v>131</v>
      </c>
      <c r="E4" s="369"/>
      <c r="F4" s="369"/>
      <c r="G4" s="369"/>
      <c r="H4" s="366"/>
      <c r="I4" s="274"/>
      <c r="J4" s="366"/>
      <c r="K4" s="274"/>
      <c r="L4" s="366"/>
      <c r="M4" s="274"/>
      <c r="N4" s="366"/>
      <c r="O4" s="274"/>
      <c r="P4" s="366"/>
      <c r="Q4" s="274"/>
      <c r="R4" s="366"/>
      <c r="S4" s="274"/>
      <c r="T4" s="366"/>
      <c r="U4" s="274"/>
      <c r="V4" s="366"/>
      <c r="W4" s="274"/>
      <c r="X4" s="366"/>
      <c r="Y4" s="274"/>
      <c r="Z4" s="366"/>
      <c r="AA4" s="274"/>
      <c r="AB4" s="366"/>
      <c r="AC4" s="274"/>
      <c r="AD4" s="366"/>
      <c r="AE4" s="274"/>
      <c r="AF4" s="366"/>
      <c r="AG4" s="274"/>
      <c r="AH4" s="366"/>
      <c r="AI4" s="274"/>
      <c r="AJ4" s="366"/>
      <c r="AK4" s="274"/>
      <c r="AL4" s="366"/>
      <c r="AM4" s="274"/>
      <c r="AN4" s="366"/>
      <c r="AO4" s="274"/>
      <c r="AP4" s="366"/>
      <c r="AQ4" s="274"/>
      <c r="AR4" s="366"/>
      <c r="AS4" s="274"/>
      <c r="AT4" s="366"/>
      <c r="AU4" s="274"/>
      <c r="AV4" s="366"/>
      <c r="AW4" s="274"/>
      <c r="AX4" s="366"/>
      <c r="AY4" s="274"/>
      <c r="AZ4" s="366"/>
    </row>
    <row r="5" spans="1:52" x14ac:dyDescent="0.25">
      <c r="A5" s="369"/>
      <c r="B5" s="369"/>
      <c r="C5" s="369"/>
      <c r="D5" s="369"/>
      <c r="E5" s="369" t="s">
        <v>132</v>
      </c>
      <c r="F5" s="369"/>
      <c r="G5" s="369"/>
      <c r="H5" s="366"/>
      <c r="I5" s="274"/>
      <c r="J5" s="366"/>
      <c r="K5" s="274"/>
      <c r="L5" s="366"/>
      <c r="M5" s="274"/>
      <c r="N5" s="366"/>
      <c r="O5" s="274"/>
      <c r="P5" s="366"/>
      <c r="Q5" s="274"/>
      <c r="R5" s="366"/>
      <c r="S5" s="274"/>
      <c r="T5" s="366"/>
      <c r="U5" s="274"/>
      <c r="V5" s="366"/>
      <c r="W5" s="274"/>
      <c r="X5" s="366"/>
      <c r="Y5" s="274"/>
      <c r="Z5" s="366"/>
      <c r="AA5" s="274"/>
      <c r="AB5" s="366"/>
      <c r="AC5" s="274"/>
      <c r="AD5" s="366"/>
      <c r="AE5" s="274"/>
      <c r="AF5" s="366"/>
      <c r="AG5" s="274"/>
      <c r="AH5" s="366"/>
      <c r="AI5" s="274"/>
      <c r="AJ5" s="366"/>
      <c r="AK5" s="274"/>
      <c r="AL5" s="366"/>
      <c r="AM5" s="274"/>
      <c r="AN5" s="366"/>
      <c r="AO5" s="274"/>
      <c r="AP5" s="366"/>
      <c r="AQ5" s="274"/>
      <c r="AR5" s="366"/>
      <c r="AS5" s="274"/>
      <c r="AT5" s="366"/>
      <c r="AU5" s="274"/>
      <c r="AV5" s="366"/>
      <c r="AW5" s="274"/>
      <c r="AX5" s="366"/>
      <c r="AY5" s="274"/>
      <c r="AZ5" s="366"/>
    </row>
    <row r="6" spans="1:52" x14ac:dyDescent="0.25">
      <c r="A6" s="369"/>
      <c r="B6" s="369"/>
      <c r="C6" s="369"/>
      <c r="D6" s="369"/>
      <c r="E6" s="369"/>
      <c r="F6" s="369" t="s">
        <v>167</v>
      </c>
      <c r="G6" s="369"/>
      <c r="H6" s="366">
        <v>0</v>
      </c>
      <c r="I6" s="274"/>
      <c r="J6" s="366">
        <v>111776</v>
      </c>
      <c r="K6" s="274"/>
      <c r="L6" s="366">
        <f>ROUND(SUM(H6:J6),5)</f>
        <v>111776</v>
      </c>
      <c r="M6" s="274"/>
      <c r="N6" s="366">
        <v>0</v>
      </c>
      <c r="O6" s="274"/>
      <c r="P6" s="366">
        <v>0</v>
      </c>
      <c r="Q6" s="274"/>
      <c r="R6" s="366">
        <v>0</v>
      </c>
      <c r="S6" s="274"/>
      <c r="T6" s="366">
        <f>ROUND(SUM(P6:R6),5)</f>
        <v>0</v>
      </c>
      <c r="U6" s="274"/>
      <c r="V6" s="366">
        <v>0</v>
      </c>
      <c r="W6" s="274"/>
      <c r="X6" s="366">
        <v>0</v>
      </c>
      <c r="Y6" s="274"/>
      <c r="Z6" s="366">
        <v>0</v>
      </c>
      <c r="AA6" s="274"/>
      <c r="AB6" s="366">
        <v>0</v>
      </c>
      <c r="AC6" s="274"/>
      <c r="AD6" s="366">
        <f>ROUND(SUM(Z6:AB6),5)</f>
        <v>0</v>
      </c>
      <c r="AE6" s="274"/>
      <c r="AF6" s="366">
        <v>0</v>
      </c>
      <c r="AG6" s="274"/>
      <c r="AH6" s="366">
        <v>0</v>
      </c>
      <c r="AI6" s="274"/>
      <c r="AJ6" s="366">
        <v>0</v>
      </c>
      <c r="AK6" s="274"/>
      <c r="AL6" s="366">
        <f>ROUND(SUM(AF6:AJ6),5)</f>
        <v>0</v>
      </c>
      <c r="AM6" s="274"/>
      <c r="AN6" s="366">
        <f>ROUND(SUM(T6:X6)+AD6+AL6,5)</f>
        <v>0</v>
      </c>
      <c r="AO6" s="274"/>
      <c r="AP6" s="366">
        <v>0</v>
      </c>
      <c r="AQ6" s="274"/>
      <c r="AR6" s="366">
        <v>0</v>
      </c>
      <c r="AS6" s="274"/>
      <c r="AT6" s="366">
        <v>0</v>
      </c>
      <c r="AU6" s="274"/>
      <c r="AV6" s="366">
        <f>ROUND(SUM(AP6:AT6),5)</f>
        <v>0</v>
      </c>
      <c r="AW6" s="274"/>
      <c r="AX6" s="366">
        <v>0</v>
      </c>
      <c r="AY6" s="274"/>
      <c r="AZ6" s="366">
        <f>ROUND(SUM(L6:N6)+AN6+SUM(AV6:AX6),5)</f>
        <v>111776</v>
      </c>
    </row>
    <row r="7" spans="1:52" x14ac:dyDescent="0.25">
      <c r="A7" s="369"/>
      <c r="B7" s="369"/>
      <c r="C7" s="369"/>
      <c r="D7" s="369"/>
      <c r="E7" s="369"/>
      <c r="F7" s="369" t="s">
        <v>168</v>
      </c>
      <c r="G7" s="369"/>
      <c r="H7" s="366">
        <v>0</v>
      </c>
      <c r="I7" s="274"/>
      <c r="J7" s="366">
        <v>-4703.42</v>
      </c>
      <c r="K7" s="274"/>
      <c r="L7" s="366">
        <f>ROUND(SUM(H7:J7),5)</f>
        <v>-4703.42</v>
      </c>
      <c r="M7" s="274"/>
      <c r="N7" s="366">
        <v>0</v>
      </c>
      <c r="O7" s="274"/>
      <c r="P7" s="366">
        <v>0</v>
      </c>
      <c r="Q7" s="274"/>
      <c r="R7" s="366">
        <v>0</v>
      </c>
      <c r="S7" s="274"/>
      <c r="T7" s="366">
        <f>ROUND(SUM(P7:R7),5)</f>
        <v>0</v>
      </c>
      <c r="U7" s="274"/>
      <c r="V7" s="366">
        <v>0</v>
      </c>
      <c r="W7" s="274"/>
      <c r="X7" s="366">
        <v>0</v>
      </c>
      <c r="Y7" s="274"/>
      <c r="Z7" s="366">
        <v>0</v>
      </c>
      <c r="AA7" s="274"/>
      <c r="AB7" s="366">
        <v>0</v>
      </c>
      <c r="AC7" s="274"/>
      <c r="AD7" s="366">
        <f>ROUND(SUM(Z7:AB7),5)</f>
        <v>0</v>
      </c>
      <c r="AE7" s="274"/>
      <c r="AF7" s="366">
        <v>0</v>
      </c>
      <c r="AG7" s="274"/>
      <c r="AH7" s="366">
        <v>0</v>
      </c>
      <c r="AI7" s="274"/>
      <c r="AJ7" s="366">
        <v>0</v>
      </c>
      <c r="AK7" s="274"/>
      <c r="AL7" s="366">
        <f>ROUND(SUM(AF7:AJ7),5)</f>
        <v>0</v>
      </c>
      <c r="AM7" s="274"/>
      <c r="AN7" s="366">
        <f>ROUND(SUM(T7:X7)+AD7+AL7,5)</f>
        <v>0</v>
      </c>
      <c r="AO7" s="274"/>
      <c r="AP7" s="366">
        <v>0</v>
      </c>
      <c r="AQ7" s="274"/>
      <c r="AR7" s="366">
        <v>0</v>
      </c>
      <c r="AS7" s="274"/>
      <c r="AT7" s="366">
        <v>0</v>
      </c>
      <c r="AU7" s="274"/>
      <c r="AV7" s="366">
        <f>ROUND(SUM(AP7:AT7),5)</f>
        <v>0</v>
      </c>
      <c r="AW7" s="274"/>
      <c r="AX7" s="366">
        <v>0</v>
      </c>
      <c r="AY7" s="274"/>
      <c r="AZ7" s="366">
        <f>ROUND(SUM(L7:N7)+AN7+SUM(AV7:AX7),5)</f>
        <v>-4703.42</v>
      </c>
    </row>
    <row r="8" spans="1:52" ht="15.75" thickBot="1" x14ac:dyDescent="0.3">
      <c r="A8" s="369"/>
      <c r="B8" s="369"/>
      <c r="C8" s="369"/>
      <c r="D8" s="369"/>
      <c r="E8" s="369"/>
      <c r="F8" s="369" t="s">
        <v>169</v>
      </c>
      <c r="G8" s="369"/>
      <c r="H8" s="275">
        <v>0</v>
      </c>
      <c r="I8" s="274"/>
      <c r="J8" s="275">
        <v>3755</v>
      </c>
      <c r="K8" s="274"/>
      <c r="L8" s="275">
        <f>ROUND(SUM(H8:J8),5)</f>
        <v>3755</v>
      </c>
      <c r="M8" s="274"/>
      <c r="N8" s="275">
        <v>0</v>
      </c>
      <c r="O8" s="274"/>
      <c r="P8" s="275">
        <v>0</v>
      </c>
      <c r="Q8" s="274"/>
      <c r="R8" s="275">
        <v>0</v>
      </c>
      <c r="S8" s="274"/>
      <c r="T8" s="275">
        <f>ROUND(SUM(P8:R8),5)</f>
        <v>0</v>
      </c>
      <c r="U8" s="274"/>
      <c r="V8" s="275">
        <v>0</v>
      </c>
      <c r="W8" s="274"/>
      <c r="X8" s="275">
        <v>0</v>
      </c>
      <c r="Y8" s="274"/>
      <c r="Z8" s="275">
        <v>0</v>
      </c>
      <c r="AA8" s="274"/>
      <c r="AB8" s="275">
        <v>0</v>
      </c>
      <c r="AC8" s="274"/>
      <c r="AD8" s="275">
        <f>ROUND(SUM(Z8:AB8),5)</f>
        <v>0</v>
      </c>
      <c r="AE8" s="274"/>
      <c r="AF8" s="275">
        <v>0</v>
      </c>
      <c r="AG8" s="274"/>
      <c r="AH8" s="275">
        <v>0</v>
      </c>
      <c r="AI8" s="274"/>
      <c r="AJ8" s="275">
        <v>0</v>
      </c>
      <c r="AK8" s="274"/>
      <c r="AL8" s="275">
        <f>ROUND(SUM(AF8:AJ8),5)</f>
        <v>0</v>
      </c>
      <c r="AM8" s="274"/>
      <c r="AN8" s="275">
        <f>ROUND(SUM(T8:X8)+AD8+AL8,5)</f>
        <v>0</v>
      </c>
      <c r="AO8" s="274"/>
      <c r="AP8" s="275">
        <v>0</v>
      </c>
      <c r="AQ8" s="274"/>
      <c r="AR8" s="275">
        <v>0</v>
      </c>
      <c r="AS8" s="274"/>
      <c r="AT8" s="275">
        <v>0</v>
      </c>
      <c r="AU8" s="274"/>
      <c r="AV8" s="275">
        <f>ROUND(SUM(AP8:AT8),5)</f>
        <v>0</v>
      </c>
      <c r="AW8" s="274"/>
      <c r="AX8" s="275">
        <v>0</v>
      </c>
      <c r="AY8" s="274"/>
      <c r="AZ8" s="275">
        <f>ROUND(SUM(L8:N8)+AN8+SUM(AV8:AX8),5)</f>
        <v>3755</v>
      </c>
    </row>
    <row r="9" spans="1:52" x14ac:dyDescent="0.25">
      <c r="A9" s="369"/>
      <c r="B9" s="369"/>
      <c r="C9" s="369"/>
      <c r="D9" s="369"/>
      <c r="E9" s="369" t="s">
        <v>170</v>
      </c>
      <c r="F9" s="369"/>
      <c r="G9" s="369"/>
      <c r="H9" s="366">
        <f>ROUND(SUM(H5:H8),5)</f>
        <v>0</v>
      </c>
      <c r="I9" s="274"/>
      <c r="J9" s="366">
        <f>ROUND(SUM(J5:J8),5)</f>
        <v>110827.58</v>
      </c>
      <c r="K9" s="274"/>
      <c r="L9" s="366">
        <f>ROUND(SUM(H9:J9),5)</f>
        <v>110827.58</v>
      </c>
      <c r="M9" s="274"/>
      <c r="N9" s="366">
        <f>ROUND(SUM(N5:N8),5)</f>
        <v>0</v>
      </c>
      <c r="O9" s="274"/>
      <c r="P9" s="366">
        <f>ROUND(SUM(P5:P8),5)</f>
        <v>0</v>
      </c>
      <c r="Q9" s="274"/>
      <c r="R9" s="366">
        <f>ROUND(SUM(R5:R8),5)</f>
        <v>0</v>
      </c>
      <c r="S9" s="274"/>
      <c r="T9" s="366">
        <f>ROUND(SUM(P9:R9),5)</f>
        <v>0</v>
      </c>
      <c r="U9" s="274"/>
      <c r="V9" s="366">
        <f>ROUND(SUM(V5:V8),5)</f>
        <v>0</v>
      </c>
      <c r="W9" s="274"/>
      <c r="X9" s="366">
        <f>ROUND(SUM(X5:X8),5)</f>
        <v>0</v>
      </c>
      <c r="Y9" s="274"/>
      <c r="Z9" s="366">
        <f>ROUND(SUM(Z5:Z8),5)</f>
        <v>0</v>
      </c>
      <c r="AA9" s="274"/>
      <c r="AB9" s="366">
        <f>ROUND(SUM(AB5:AB8),5)</f>
        <v>0</v>
      </c>
      <c r="AC9" s="274"/>
      <c r="AD9" s="366">
        <f>ROUND(SUM(Z9:AB9),5)</f>
        <v>0</v>
      </c>
      <c r="AE9" s="274"/>
      <c r="AF9" s="366">
        <f>ROUND(SUM(AF5:AF8),5)</f>
        <v>0</v>
      </c>
      <c r="AG9" s="274"/>
      <c r="AH9" s="366">
        <f>ROUND(SUM(AH5:AH8),5)</f>
        <v>0</v>
      </c>
      <c r="AI9" s="274"/>
      <c r="AJ9" s="366">
        <f>ROUND(SUM(AJ5:AJ8),5)</f>
        <v>0</v>
      </c>
      <c r="AK9" s="274"/>
      <c r="AL9" s="366">
        <f>ROUND(SUM(AF9:AJ9),5)</f>
        <v>0</v>
      </c>
      <c r="AM9" s="274"/>
      <c r="AN9" s="366">
        <f>ROUND(SUM(T9:X9)+AD9+AL9,5)</f>
        <v>0</v>
      </c>
      <c r="AO9" s="274"/>
      <c r="AP9" s="366">
        <f>ROUND(SUM(AP5:AP8),5)</f>
        <v>0</v>
      </c>
      <c r="AQ9" s="274"/>
      <c r="AR9" s="366">
        <f>ROUND(SUM(AR5:AR8),5)</f>
        <v>0</v>
      </c>
      <c r="AS9" s="274"/>
      <c r="AT9" s="366">
        <f>ROUND(SUM(AT5:AT8),5)</f>
        <v>0</v>
      </c>
      <c r="AU9" s="274"/>
      <c r="AV9" s="366">
        <f>ROUND(SUM(AP9:AT9),5)</f>
        <v>0</v>
      </c>
      <c r="AW9" s="274"/>
      <c r="AX9" s="366">
        <f>ROUND(SUM(AX5:AX8),5)</f>
        <v>0</v>
      </c>
      <c r="AY9" s="274"/>
      <c r="AZ9" s="366">
        <f>ROUND(SUM(L9:N9)+AN9+SUM(AV9:AX9),5)</f>
        <v>110827.58</v>
      </c>
    </row>
    <row r="10" spans="1:52" x14ac:dyDescent="0.25">
      <c r="A10" s="369"/>
      <c r="B10" s="369"/>
      <c r="C10" s="369"/>
      <c r="D10" s="369"/>
      <c r="E10" s="369" t="s">
        <v>133</v>
      </c>
      <c r="F10" s="369"/>
      <c r="G10" s="369"/>
      <c r="H10" s="366"/>
      <c r="I10" s="274"/>
      <c r="J10" s="366"/>
      <c r="K10" s="274"/>
      <c r="L10" s="366"/>
      <c r="M10" s="274"/>
      <c r="N10" s="366"/>
      <c r="O10" s="274"/>
      <c r="P10" s="366"/>
      <c r="Q10" s="274"/>
      <c r="R10" s="366"/>
      <c r="S10" s="274"/>
      <c r="T10" s="366"/>
      <c r="U10" s="274"/>
      <c r="V10" s="366"/>
      <c r="W10" s="274"/>
      <c r="X10" s="366"/>
      <c r="Y10" s="274"/>
      <c r="Z10" s="366"/>
      <c r="AA10" s="274"/>
      <c r="AB10" s="366"/>
      <c r="AC10" s="274"/>
      <c r="AD10" s="366"/>
      <c r="AE10" s="274"/>
      <c r="AF10" s="366"/>
      <c r="AG10" s="274"/>
      <c r="AH10" s="366"/>
      <c r="AI10" s="274"/>
      <c r="AJ10" s="366"/>
      <c r="AK10" s="274"/>
      <c r="AL10" s="366"/>
      <c r="AM10" s="274"/>
      <c r="AN10" s="366"/>
      <c r="AO10" s="274"/>
      <c r="AP10" s="366"/>
      <c r="AQ10" s="274"/>
      <c r="AR10" s="366"/>
      <c r="AS10" s="274"/>
      <c r="AT10" s="366"/>
      <c r="AU10" s="274"/>
      <c r="AV10" s="366"/>
      <c r="AW10" s="274"/>
      <c r="AX10" s="366"/>
      <c r="AY10" s="274"/>
      <c r="AZ10" s="366"/>
    </row>
    <row r="11" spans="1:52" x14ac:dyDescent="0.25">
      <c r="A11" s="369"/>
      <c r="B11" s="369"/>
      <c r="C11" s="369"/>
      <c r="D11" s="369"/>
      <c r="E11" s="369"/>
      <c r="F11" s="369" t="s">
        <v>171</v>
      </c>
      <c r="G11" s="369"/>
      <c r="H11" s="366">
        <v>0</v>
      </c>
      <c r="I11" s="274"/>
      <c r="J11" s="366">
        <v>0</v>
      </c>
      <c r="K11" s="274"/>
      <c r="L11" s="366">
        <f>ROUND(SUM(H11:J11),5)</f>
        <v>0</v>
      </c>
      <c r="M11" s="274"/>
      <c r="N11" s="366">
        <v>38942.78</v>
      </c>
      <c r="O11" s="274"/>
      <c r="P11" s="366">
        <v>0</v>
      </c>
      <c r="Q11" s="274"/>
      <c r="R11" s="366">
        <v>0</v>
      </c>
      <c r="S11" s="274"/>
      <c r="T11" s="366">
        <f>ROUND(SUM(P11:R11),5)</f>
        <v>0</v>
      </c>
      <c r="U11" s="274"/>
      <c r="V11" s="366">
        <v>0</v>
      </c>
      <c r="W11" s="274"/>
      <c r="X11" s="366">
        <v>0</v>
      </c>
      <c r="Y11" s="274"/>
      <c r="Z11" s="366">
        <v>0</v>
      </c>
      <c r="AA11" s="274"/>
      <c r="AB11" s="366">
        <v>0</v>
      </c>
      <c r="AC11" s="274"/>
      <c r="AD11" s="366">
        <f>ROUND(SUM(Z11:AB11),5)</f>
        <v>0</v>
      </c>
      <c r="AE11" s="274"/>
      <c r="AF11" s="366">
        <v>0</v>
      </c>
      <c r="AG11" s="274"/>
      <c r="AH11" s="366">
        <v>0</v>
      </c>
      <c r="AI11" s="274"/>
      <c r="AJ11" s="366">
        <v>0</v>
      </c>
      <c r="AK11" s="274"/>
      <c r="AL11" s="366">
        <f>ROUND(SUM(AF11:AJ11),5)</f>
        <v>0</v>
      </c>
      <c r="AM11" s="274"/>
      <c r="AN11" s="366">
        <f>ROUND(SUM(T11:X11)+AD11+AL11,5)</f>
        <v>0</v>
      </c>
      <c r="AO11" s="274"/>
      <c r="AP11" s="366">
        <v>0</v>
      </c>
      <c r="AQ11" s="274"/>
      <c r="AR11" s="366">
        <v>0</v>
      </c>
      <c r="AS11" s="274"/>
      <c r="AT11" s="366">
        <v>0</v>
      </c>
      <c r="AU11" s="274"/>
      <c r="AV11" s="366">
        <f>ROUND(SUM(AP11:AT11),5)</f>
        <v>0</v>
      </c>
      <c r="AW11" s="274"/>
      <c r="AX11" s="366">
        <v>0</v>
      </c>
      <c r="AY11" s="274"/>
      <c r="AZ11" s="366">
        <f>ROUND(SUM(L11:N11)+AN11+SUM(AV11:AX11),5)</f>
        <v>38942.78</v>
      </c>
    </row>
    <row r="12" spans="1:52" x14ac:dyDescent="0.25">
      <c r="A12" s="369"/>
      <c r="B12" s="369"/>
      <c r="C12" s="369"/>
      <c r="D12" s="369"/>
      <c r="E12" s="369"/>
      <c r="F12" s="369" t="s">
        <v>172</v>
      </c>
      <c r="G12" s="369"/>
      <c r="H12" s="366">
        <v>0</v>
      </c>
      <c r="I12" s="274"/>
      <c r="J12" s="366">
        <v>0</v>
      </c>
      <c r="K12" s="274"/>
      <c r="L12" s="366">
        <f>ROUND(SUM(H12:J12),5)</f>
        <v>0</v>
      </c>
      <c r="M12" s="274"/>
      <c r="N12" s="366">
        <v>0</v>
      </c>
      <c r="O12" s="274"/>
      <c r="P12" s="366">
        <v>0</v>
      </c>
      <c r="Q12" s="274"/>
      <c r="R12" s="366">
        <v>0</v>
      </c>
      <c r="S12" s="274"/>
      <c r="T12" s="366">
        <f>ROUND(SUM(P12:R12),5)</f>
        <v>0</v>
      </c>
      <c r="U12" s="274"/>
      <c r="V12" s="366">
        <v>0</v>
      </c>
      <c r="W12" s="274"/>
      <c r="X12" s="366">
        <v>0</v>
      </c>
      <c r="Y12" s="274"/>
      <c r="Z12" s="366">
        <v>0</v>
      </c>
      <c r="AA12" s="274"/>
      <c r="AB12" s="366">
        <v>0</v>
      </c>
      <c r="AC12" s="274"/>
      <c r="AD12" s="366">
        <f>ROUND(SUM(Z12:AB12),5)</f>
        <v>0</v>
      </c>
      <c r="AE12" s="274"/>
      <c r="AF12" s="366">
        <v>1100</v>
      </c>
      <c r="AG12" s="274"/>
      <c r="AH12" s="366">
        <v>3095</v>
      </c>
      <c r="AI12" s="274"/>
      <c r="AJ12" s="366">
        <v>0</v>
      </c>
      <c r="AK12" s="274"/>
      <c r="AL12" s="366">
        <f>ROUND(SUM(AF12:AJ12),5)</f>
        <v>4195</v>
      </c>
      <c r="AM12" s="274"/>
      <c r="AN12" s="366">
        <f>ROUND(SUM(T12:X12)+AD12+AL12,5)</f>
        <v>4195</v>
      </c>
      <c r="AO12" s="274"/>
      <c r="AP12" s="366">
        <v>0</v>
      </c>
      <c r="AQ12" s="274"/>
      <c r="AR12" s="366">
        <v>0</v>
      </c>
      <c r="AS12" s="274"/>
      <c r="AT12" s="366">
        <v>0</v>
      </c>
      <c r="AU12" s="274"/>
      <c r="AV12" s="366">
        <f>ROUND(SUM(AP12:AT12),5)</f>
        <v>0</v>
      </c>
      <c r="AW12" s="274"/>
      <c r="AX12" s="366">
        <v>0</v>
      </c>
      <c r="AY12" s="274"/>
      <c r="AZ12" s="366">
        <f>ROUND(SUM(L12:N12)+AN12+SUM(AV12:AX12),5)</f>
        <v>4195</v>
      </c>
    </row>
    <row r="13" spans="1:52" ht="15.75" thickBot="1" x14ac:dyDescent="0.3">
      <c r="A13" s="369"/>
      <c r="B13" s="369"/>
      <c r="C13" s="369"/>
      <c r="D13" s="369"/>
      <c r="E13" s="369"/>
      <c r="F13" s="369" t="s">
        <v>173</v>
      </c>
      <c r="G13" s="369"/>
      <c r="H13" s="275">
        <v>0</v>
      </c>
      <c r="I13" s="274"/>
      <c r="J13" s="275">
        <v>0</v>
      </c>
      <c r="K13" s="274"/>
      <c r="L13" s="275">
        <f>ROUND(SUM(H13:J13),5)</f>
        <v>0</v>
      </c>
      <c r="M13" s="274"/>
      <c r="N13" s="275">
        <v>0</v>
      </c>
      <c r="O13" s="274"/>
      <c r="P13" s="275">
        <v>0</v>
      </c>
      <c r="Q13" s="274"/>
      <c r="R13" s="275">
        <v>0</v>
      </c>
      <c r="S13" s="274"/>
      <c r="T13" s="275">
        <f>ROUND(SUM(P13:R13),5)</f>
        <v>0</v>
      </c>
      <c r="U13" s="274"/>
      <c r="V13" s="275">
        <v>0</v>
      </c>
      <c r="W13" s="274"/>
      <c r="X13" s="275">
        <v>0</v>
      </c>
      <c r="Y13" s="274"/>
      <c r="Z13" s="275">
        <v>0</v>
      </c>
      <c r="AA13" s="274"/>
      <c r="AB13" s="275">
        <v>2672.23</v>
      </c>
      <c r="AC13" s="274"/>
      <c r="AD13" s="275">
        <f>ROUND(SUM(Z13:AB13),5)</f>
        <v>2672.23</v>
      </c>
      <c r="AE13" s="274"/>
      <c r="AF13" s="275">
        <v>0</v>
      </c>
      <c r="AG13" s="274"/>
      <c r="AH13" s="275">
        <v>0</v>
      </c>
      <c r="AI13" s="274"/>
      <c r="AJ13" s="275">
        <v>0</v>
      </c>
      <c r="AK13" s="274"/>
      <c r="AL13" s="275">
        <f>ROUND(SUM(AF13:AJ13),5)</f>
        <v>0</v>
      </c>
      <c r="AM13" s="274"/>
      <c r="AN13" s="275">
        <f>ROUND(SUM(T13:X13)+AD13+AL13,5)</f>
        <v>2672.23</v>
      </c>
      <c r="AO13" s="274"/>
      <c r="AP13" s="275">
        <v>0</v>
      </c>
      <c r="AQ13" s="274"/>
      <c r="AR13" s="275">
        <v>0</v>
      </c>
      <c r="AS13" s="274"/>
      <c r="AT13" s="275">
        <v>0</v>
      </c>
      <c r="AU13" s="274"/>
      <c r="AV13" s="275">
        <f>ROUND(SUM(AP13:AT13),5)</f>
        <v>0</v>
      </c>
      <c r="AW13" s="274"/>
      <c r="AX13" s="275">
        <v>0</v>
      </c>
      <c r="AY13" s="274"/>
      <c r="AZ13" s="275">
        <f>ROUND(SUM(L13:N13)+AN13+SUM(AV13:AX13),5)</f>
        <v>2672.23</v>
      </c>
    </row>
    <row r="14" spans="1:52" x14ac:dyDescent="0.25">
      <c r="A14" s="369"/>
      <c r="B14" s="369"/>
      <c r="C14" s="369"/>
      <c r="D14" s="369"/>
      <c r="E14" s="369" t="s">
        <v>176</v>
      </c>
      <c r="F14" s="369"/>
      <c r="G14" s="369"/>
      <c r="H14" s="366">
        <f>ROUND(SUM(H10:H13),5)</f>
        <v>0</v>
      </c>
      <c r="I14" s="274"/>
      <c r="J14" s="366">
        <f>ROUND(SUM(J10:J13),5)</f>
        <v>0</v>
      </c>
      <c r="K14" s="274"/>
      <c r="L14" s="366">
        <f>ROUND(SUM(H14:J14),5)</f>
        <v>0</v>
      </c>
      <c r="M14" s="274"/>
      <c r="N14" s="366">
        <f>ROUND(SUM(N10:N13),5)</f>
        <v>38942.78</v>
      </c>
      <c r="O14" s="274"/>
      <c r="P14" s="366">
        <f>ROUND(SUM(P10:P13),5)</f>
        <v>0</v>
      </c>
      <c r="Q14" s="274"/>
      <c r="R14" s="366">
        <f>ROUND(SUM(R10:R13),5)</f>
        <v>0</v>
      </c>
      <c r="S14" s="274"/>
      <c r="T14" s="366">
        <f>ROUND(SUM(P14:R14),5)</f>
        <v>0</v>
      </c>
      <c r="U14" s="274"/>
      <c r="V14" s="366">
        <f>ROUND(SUM(V10:V13),5)</f>
        <v>0</v>
      </c>
      <c r="W14" s="274"/>
      <c r="X14" s="366">
        <f>ROUND(SUM(X10:X13),5)</f>
        <v>0</v>
      </c>
      <c r="Y14" s="274"/>
      <c r="Z14" s="366">
        <f>ROUND(SUM(Z10:Z13),5)</f>
        <v>0</v>
      </c>
      <c r="AA14" s="274"/>
      <c r="AB14" s="366">
        <f>ROUND(SUM(AB10:AB13),5)</f>
        <v>2672.23</v>
      </c>
      <c r="AC14" s="274"/>
      <c r="AD14" s="366">
        <f>ROUND(SUM(Z14:AB14),5)</f>
        <v>2672.23</v>
      </c>
      <c r="AE14" s="274"/>
      <c r="AF14" s="366">
        <f>ROUND(SUM(AF10:AF13),5)</f>
        <v>1100</v>
      </c>
      <c r="AG14" s="274"/>
      <c r="AH14" s="366">
        <f>ROUND(SUM(AH10:AH13),5)</f>
        <v>3095</v>
      </c>
      <c r="AI14" s="274"/>
      <c r="AJ14" s="366">
        <f>ROUND(SUM(AJ10:AJ13),5)</f>
        <v>0</v>
      </c>
      <c r="AK14" s="274"/>
      <c r="AL14" s="366">
        <f>ROUND(SUM(AF14:AJ14),5)</f>
        <v>4195</v>
      </c>
      <c r="AM14" s="274"/>
      <c r="AN14" s="366">
        <f>ROUND(SUM(T14:X14)+AD14+AL14,5)</f>
        <v>6867.23</v>
      </c>
      <c r="AO14" s="274"/>
      <c r="AP14" s="366">
        <f>ROUND(SUM(AP10:AP13),5)</f>
        <v>0</v>
      </c>
      <c r="AQ14" s="274"/>
      <c r="AR14" s="366">
        <f>ROUND(SUM(AR10:AR13),5)</f>
        <v>0</v>
      </c>
      <c r="AS14" s="274"/>
      <c r="AT14" s="366">
        <f>ROUND(SUM(AT10:AT13),5)</f>
        <v>0</v>
      </c>
      <c r="AU14" s="274"/>
      <c r="AV14" s="366">
        <f>ROUND(SUM(AP14:AT14),5)</f>
        <v>0</v>
      </c>
      <c r="AW14" s="274"/>
      <c r="AX14" s="366">
        <f>ROUND(SUM(AX10:AX13),5)</f>
        <v>0</v>
      </c>
      <c r="AY14" s="274"/>
      <c r="AZ14" s="366">
        <f>ROUND(SUM(L14:N14)+AN14+SUM(AV14:AX14),5)</f>
        <v>45810.01</v>
      </c>
    </row>
    <row r="15" spans="1:52" x14ac:dyDescent="0.25">
      <c r="A15" s="369"/>
      <c r="B15" s="369"/>
      <c r="C15" s="369"/>
      <c r="D15" s="369"/>
      <c r="E15" s="369" t="s">
        <v>134</v>
      </c>
      <c r="F15" s="369"/>
      <c r="G15" s="369"/>
      <c r="H15" s="366"/>
      <c r="I15" s="274"/>
      <c r="J15" s="366"/>
      <c r="K15" s="274"/>
      <c r="L15" s="366"/>
      <c r="M15" s="274"/>
      <c r="N15" s="366"/>
      <c r="O15" s="274"/>
      <c r="P15" s="366"/>
      <c r="Q15" s="274"/>
      <c r="R15" s="366"/>
      <c r="S15" s="274"/>
      <c r="T15" s="366"/>
      <c r="U15" s="274"/>
      <c r="V15" s="366"/>
      <c r="W15" s="274"/>
      <c r="X15" s="366"/>
      <c r="Y15" s="274"/>
      <c r="Z15" s="366"/>
      <c r="AA15" s="274"/>
      <c r="AB15" s="366"/>
      <c r="AC15" s="274"/>
      <c r="AD15" s="366"/>
      <c r="AE15" s="274"/>
      <c r="AF15" s="366"/>
      <c r="AG15" s="274"/>
      <c r="AH15" s="366"/>
      <c r="AI15" s="274"/>
      <c r="AJ15" s="366"/>
      <c r="AK15" s="274"/>
      <c r="AL15" s="366"/>
      <c r="AM15" s="274"/>
      <c r="AN15" s="366"/>
      <c r="AO15" s="274"/>
      <c r="AP15" s="366"/>
      <c r="AQ15" s="274"/>
      <c r="AR15" s="366"/>
      <c r="AS15" s="274"/>
      <c r="AT15" s="366"/>
      <c r="AU15" s="274"/>
      <c r="AV15" s="366"/>
      <c r="AW15" s="274"/>
      <c r="AX15" s="366"/>
      <c r="AY15" s="274"/>
      <c r="AZ15" s="366"/>
    </row>
    <row r="16" spans="1:52" x14ac:dyDescent="0.25">
      <c r="A16" s="369"/>
      <c r="B16" s="369"/>
      <c r="C16" s="369"/>
      <c r="D16" s="369"/>
      <c r="E16" s="369"/>
      <c r="F16" s="369" t="s">
        <v>178</v>
      </c>
      <c r="G16" s="369"/>
      <c r="H16" s="366">
        <v>0</v>
      </c>
      <c r="I16" s="274"/>
      <c r="J16" s="366">
        <v>0</v>
      </c>
      <c r="K16" s="274"/>
      <c r="L16" s="366">
        <f>ROUND(SUM(H16:J16),5)</f>
        <v>0</v>
      </c>
      <c r="M16" s="274"/>
      <c r="N16" s="366">
        <v>935.2</v>
      </c>
      <c r="O16" s="274"/>
      <c r="P16" s="366">
        <v>0</v>
      </c>
      <c r="Q16" s="274"/>
      <c r="R16" s="366">
        <v>0</v>
      </c>
      <c r="S16" s="274"/>
      <c r="T16" s="366">
        <f>ROUND(SUM(P16:R16),5)</f>
        <v>0</v>
      </c>
      <c r="U16" s="274"/>
      <c r="V16" s="366">
        <v>0</v>
      </c>
      <c r="W16" s="274"/>
      <c r="X16" s="366">
        <v>0</v>
      </c>
      <c r="Y16" s="274"/>
      <c r="Z16" s="366">
        <v>0</v>
      </c>
      <c r="AA16" s="274"/>
      <c r="AB16" s="366">
        <v>0</v>
      </c>
      <c r="AC16" s="274"/>
      <c r="AD16" s="366">
        <f>ROUND(SUM(Z16:AB16),5)</f>
        <v>0</v>
      </c>
      <c r="AE16" s="274"/>
      <c r="AF16" s="366">
        <v>0</v>
      </c>
      <c r="AG16" s="274"/>
      <c r="AH16" s="366">
        <v>0</v>
      </c>
      <c r="AI16" s="274"/>
      <c r="AJ16" s="366">
        <v>0</v>
      </c>
      <c r="AK16" s="274"/>
      <c r="AL16" s="366">
        <f>ROUND(SUM(AF16:AJ16),5)</f>
        <v>0</v>
      </c>
      <c r="AM16" s="274"/>
      <c r="AN16" s="366">
        <f>ROUND(SUM(T16:X16)+AD16+AL16,5)</f>
        <v>0</v>
      </c>
      <c r="AO16" s="274"/>
      <c r="AP16" s="366">
        <v>0</v>
      </c>
      <c r="AQ16" s="274"/>
      <c r="AR16" s="366">
        <v>0</v>
      </c>
      <c r="AS16" s="274"/>
      <c r="AT16" s="366">
        <v>0</v>
      </c>
      <c r="AU16" s="274"/>
      <c r="AV16" s="366">
        <f>ROUND(SUM(AP16:AT16),5)</f>
        <v>0</v>
      </c>
      <c r="AW16" s="274"/>
      <c r="AX16" s="366">
        <v>0</v>
      </c>
      <c r="AY16" s="274"/>
      <c r="AZ16" s="366">
        <f>ROUND(SUM(L16:N16)+AN16+SUM(AV16:AX16),5)</f>
        <v>935.2</v>
      </c>
    </row>
    <row r="17" spans="1:52" x14ac:dyDescent="0.25">
      <c r="A17" s="369"/>
      <c r="B17" s="369"/>
      <c r="C17" s="369"/>
      <c r="D17" s="369"/>
      <c r="E17" s="369"/>
      <c r="F17" s="369" t="s">
        <v>179</v>
      </c>
      <c r="G17" s="369"/>
      <c r="H17" s="366">
        <v>0</v>
      </c>
      <c r="I17" s="274"/>
      <c r="J17" s="366">
        <v>0</v>
      </c>
      <c r="K17" s="274"/>
      <c r="L17" s="366">
        <f>ROUND(SUM(H17:J17),5)</f>
        <v>0</v>
      </c>
      <c r="M17" s="274"/>
      <c r="N17" s="366">
        <v>28</v>
      </c>
      <c r="O17" s="274"/>
      <c r="P17" s="366">
        <v>0</v>
      </c>
      <c r="Q17" s="274"/>
      <c r="R17" s="366">
        <v>0</v>
      </c>
      <c r="S17" s="274"/>
      <c r="T17" s="366">
        <f>ROUND(SUM(P17:R17),5)</f>
        <v>0</v>
      </c>
      <c r="U17" s="274"/>
      <c r="V17" s="366">
        <v>0</v>
      </c>
      <c r="W17" s="274"/>
      <c r="X17" s="366">
        <v>0</v>
      </c>
      <c r="Y17" s="274"/>
      <c r="Z17" s="366">
        <v>0</v>
      </c>
      <c r="AA17" s="274"/>
      <c r="AB17" s="366">
        <v>0</v>
      </c>
      <c r="AC17" s="274"/>
      <c r="AD17" s="366">
        <f>ROUND(SUM(Z17:AB17),5)</f>
        <v>0</v>
      </c>
      <c r="AE17" s="274"/>
      <c r="AF17" s="366">
        <v>0</v>
      </c>
      <c r="AG17" s="274"/>
      <c r="AH17" s="366">
        <v>0</v>
      </c>
      <c r="AI17" s="274"/>
      <c r="AJ17" s="366">
        <v>0</v>
      </c>
      <c r="AK17" s="274"/>
      <c r="AL17" s="366">
        <f>ROUND(SUM(AF17:AJ17),5)</f>
        <v>0</v>
      </c>
      <c r="AM17" s="274"/>
      <c r="AN17" s="366">
        <f>ROUND(SUM(T17:X17)+AD17+AL17,5)</f>
        <v>0</v>
      </c>
      <c r="AO17" s="274"/>
      <c r="AP17" s="366">
        <v>0</v>
      </c>
      <c r="AQ17" s="274"/>
      <c r="AR17" s="366">
        <v>0</v>
      </c>
      <c r="AS17" s="274"/>
      <c r="AT17" s="366">
        <v>0</v>
      </c>
      <c r="AU17" s="274"/>
      <c r="AV17" s="366">
        <f>ROUND(SUM(AP17:AT17),5)</f>
        <v>0</v>
      </c>
      <c r="AW17" s="274"/>
      <c r="AX17" s="366">
        <v>0</v>
      </c>
      <c r="AY17" s="274"/>
      <c r="AZ17" s="366">
        <f>ROUND(SUM(L17:N17)+AN17+SUM(AV17:AX17),5)</f>
        <v>28</v>
      </c>
    </row>
    <row r="18" spans="1:52" x14ac:dyDescent="0.25">
      <c r="A18" s="369"/>
      <c r="B18" s="369"/>
      <c r="C18" s="369"/>
      <c r="D18" s="369"/>
      <c r="E18" s="369"/>
      <c r="F18" s="369" t="s">
        <v>182</v>
      </c>
      <c r="G18" s="369"/>
      <c r="H18" s="366"/>
      <c r="I18" s="274"/>
      <c r="J18" s="366"/>
      <c r="K18" s="274"/>
      <c r="L18" s="366"/>
      <c r="M18" s="274"/>
      <c r="N18" s="366"/>
      <c r="O18" s="274"/>
      <c r="P18" s="366"/>
      <c r="Q18" s="274"/>
      <c r="R18" s="366"/>
      <c r="S18" s="274"/>
      <c r="T18" s="366"/>
      <c r="U18" s="274"/>
      <c r="V18" s="366"/>
      <c r="W18" s="274"/>
      <c r="X18" s="366"/>
      <c r="Y18" s="274"/>
      <c r="Z18" s="366"/>
      <c r="AA18" s="274"/>
      <c r="AB18" s="366"/>
      <c r="AC18" s="274"/>
      <c r="AD18" s="366"/>
      <c r="AE18" s="274"/>
      <c r="AF18" s="366"/>
      <c r="AG18" s="274"/>
      <c r="AH18" s="366"/>
      <c r="AI18" s="274"/>
      <c r="AJ18" s="366"/>
      <c r="AK18" s="274"/>
      <c r="AL18" s="366"/>
      <c r="AM18" s="274"/>
      <c r="AN18" s="366"/>
      <c r="AO18" s="274"/>
      <c r="AP18" s="366"/>
      <c r="AQ18" s="274"/>
      <c r="AR18" s="366"/>
      <c r="AS18" s="274"/>
      <c r="AT18" s="366"/>
      <c r="AU18" s="274"/>
      <c r="AV18" s="366"/>
      <c r="AW18" s="274"/>
      <c r="AX18" s="366"/>
      <c r="AY18" s="274"/>
      <c r="AZ18" s="366"/>
    </row>
    <row r="19" spans="1:52" x14ac:dyDescent="0.25">
      <c r="A19" s="369"/>
      <c r="B19" s="369"/>
      <c r="C19" s="369"/>
      <c r="D19" s="369"/>
      <c r="E19" s="369"/>
      <c r="F19" s="369"/>
      <c r="G19" s="369" t="s">
        <v>454</v>
      </c>
      <c r="H19" s="366">
        <v>0</v>
      </c>
      <c r="I19" s="274"/>
      <c r="J19" s="366">
        <v>0</v>
      </c>
      <c r="K19" s="274"/>
      <c r="L19" s="366">
        <f t="shared" ref="L19:L28" si="0">ROUND(SUM(H19:J19),5)</f>
        <v>0</v>
      </c>
      <c r="M19" s="274"/>
      <c r="N19" s="366">
        <v>0</v>
      </c>
      <c r="O19" s="274"/>
      <c r="P19" s="366">
        <v>0</v>
      </c>
      <c r="Q19" s="274"/>
      <c r="R19" s="366">
        <v>0</v>
      </c>
      <c r="S19" s="274"/>
      <c r="T19" s="366">
        <f t="shared" ref="T19:T28" si="1">ROUND(SUM(P19:R19),5)</f>
        <v>0</v>
      </c>
      <c r="U19" s="274"/>
      <c r="V19" s="366">
        <v>0</v>
      </c>
      <c r="W19" s="274"/>
      <c r="X19" s="366">
        <v>0</v>
      </c>
      <c r="Y19" s="274"/>
      <c r="Z19" s="366">
        <v>0</v>
      </c>
      <c r="AA19" s="274"/>
      <c r="AB19" s="366">
        <v>-157.5</v>
      </c>
      <c r="AC19" s="274"/>
      <c r="AD19" s="366">
        <f t="shared" ref="AD19:AD28" si="2">ROUND(SUM(Z19:AB19),5)</f>
        <v>-157.5</v>
      </c>
      <c r="AE19" s="274"/>
      <c r="AF19" s="366">
        <v>0</v>
      </c>
      <c r="AG19" s="274"/>
      <c r="AH19" s="366">
        <v>0</v>
      </c>
      <c r="AI19" s="274"/>
      <c r="AJ19" s="366">
        <v>0</v>
      </c>
      <c r="AK19" s="274"/>
      <c r="AL19" s="366">
        <f t="shared" ref="AL19:AL28" si="3">ROUND(SUM(AF19:AJ19),5)</f>
        <v>0</v>
      </c>
      <c r="AM19" s="274"/>
      <c r="AN19" s="366">
        <f t="shared" ref="AN19:AN28" si="4">ROUND(SUM(T19:X19)+AD19+AL19,5)</f>
        <v>-157.5</v>
      </c>
      <c r="AO19" s="274"/>
      <c r="AP19" s="366">
        <v>0</v>
      </c>
      <c r="AQ19" s="274"/>
      <c r="AR19" s="366">
        <v>0</v>
      </c>
      <c r="AS19" s="274"/>
      <c r="AT19" s="366">
        <v>0</v>
      </c>
      <c r="AU19" s="274"/>
      <c r="AV19" s="366">
        <f t="shared" ref="AV19:AV28" si="5">ROUND(SUM(AP19:AT19),5)</f>
        <v>0</v>
      </c>
      <c r="AW19" s="274"/>
      <c r="AX19" s="366">
        <v>0</v>
      </c>
      <c r="AY19" s="274"/>
      <c r="AZ19" s="366">
        <f t="shared" ref="AZ19:AZ28" si="6">ROUND(SUM(L19:N19)+AN19+SUM(AV19:AX19),5)</f>
        <v>-157.5</v>
      </c>
    </row>
    <row r="20" spans="1:52" x14ac:dyDescent="0.25">
      <c r="A20" s="369"/>
      <c r="B20" s="369"/>
      <c r="C20" s="369"/>
      <c r="D20" s="369"/>
      <c r="E20" s="369"/>
      <c r="F20" s="369"/>
      <c r="G20" s="369" t="s">
        <v>183</v>
      </c>
      <c r="H20" s="366">
        <v>0</v>
      </c>
      <c r="I20" s="274"/>
      <c r="J20" s="366">
        <v>0</v>
      </c>
      <c r="K20" s="274"/>
      <c r="L20" s="366">
        <f t="shared" si="0"/>
        <v>0</v>
      </c>
      <c r="M20" s="274"/>
      <c r="N20" s="366">
        <v>0</v>
      </c>
      <c r="O20" s="274"/>
      <c r="P20" s="366">
        <v>0</v>
      </c>
      <c r="Q20" s="274"/>
      <c r="R20" s="366">
        <v>0</v>
      </c>
      <c r="S20" s="274"/>
      <c r="T20" s="366">
        <f t="shared" si="1"/>
        <v>0</v>
      </c>
      <c r="U20" s="274"/>
      <c r="V20" s="366">
        <v>0</v>
      </c>
      <c r="W20" s="274"/>
      <c r="X20" s="366">
        <v>0</v>
      </c>
      <c r="Y20" s="274"/>
      <c r="Z20" s="366">
        <v>2704.76</v>
      </c>
      <c r="AA20" s="274"/>
      <c r="AB20" s="366">
        <v>0</v>
      </c>
      <c r="AC20" s="274"/>
      <c r="AD20" s="366">
        <f t="shared" si="2"/>
        <v>2704.76</v>
      </c>
      <c r="AE20" s="274"/>
      <c r="AF20" s="366">
        <v>0</v>
      </c>
      <c r="AG20" s="274"/>
      <c r="AH20" s="366">
        <v>0</v>
      </c>
      <c r="AI20" s="274"/>
      <c r="AJ20" s="366">
        <v>0</v>
      </c>
      <c r="AK20" s="274"/>
      <c r="AL20" s="366">
        <f t="shared" si="3"/>
        <v>0</v>
      </c>
      <c r="AM20" s="274"/>
      <c r="AN20" s="366">
        <f t="shared" si="4"/>
        <v>2704.76</v>
      </c>
      <c r="AO20" s="274"/>
      <c r="AP20" s="366">
        <v>0</v>
      </c>
      <c r="AQ20" s="274"/>
      <c r="AR20" s="366">
        <v>0</v>
      </c>
      <c r="AS20" s="274"/>
      <c r="AT20" s="366">
        <v>0</v>
      </c>
      <c r="AU20" s="274"/>
      <c r="AV20" s="366">
        <f t="shared" si="5"/>
        <v>0</v>
      </c>
      <c r="AW20" s="274"/>
      <c r="AX20" s="366">
        <v>0</v>
      </c>
      <c r="AY20" s="274"/>
      <c r="AZ20" s="366">
        <f t="shared" si="6"/>
        <v>2704.76</v>
      </c>
    </row>
    <row r="21" spans="1:52" x14ac:dyDescent="0.25">
      <c r="A21" s="369"/>
      <c r="B21" s="369"/>
      <c r="C21" s="369"/>
      <c r="D21" s="369"/>
      <c r="E21" s="369"/>
      <c r="F21" s="369"/>
      <c r="G21" s="369" t="s">
        <v>184</v>
      </c>
      <c r="H21" s="366">
        <v>0</v>
      </c>
      <c r="I21" s="274"/>
      <c r="J21" s="366">
        <v>0</v>
      </c>
      <c r="K21" s="274"/>
      <c r="L21" s="366">
        <f t="shared" si="0"/>
        <v>0</v>
      </c>
      <c r="M21" s="274"/>
      <c r="N21" s="366">
        <v>0</v>
      </c>
      <c r="O21" s="274"/>
      <c r="P21" s="366">
        <v>0</v>
      </c>
      <c r="Q21" s="274"/>
      <c r="R21" s="366">
        <v>0</v>
      </c>
      <c r="S21" s="274"/>
      <c r="T21" s="366">
        <f t="shared" si="1"/>
        <v>0</v>
      </c>
      <c r="U21" s="274"/>
      <c r="V21" s="366">
        <v>0</v>
      </c>
      <c r="W21" s="274"/>
      <c r="X21" s="366">
        <v>0</v>
      </c>
      <c r="Y21" s="274"/>
      <c r="Z21" s="366">
        <v>0</v>
      </c>
      <c r="AA21" s="274"/>
      <c r="AB21" s="366">
        <v>37350</v>
      </c>
      <c r="AC21" s="274"/>
      <c r="AD21" s="366">
        <f t="shared" si="2"/>
        <v>37350</v>
      </c>
      <c r="AE21" s="274"/>
      <c r="AF21" s="366">
        <v>0</v>
      </c>
      <c r="AG21" s="274"/>
      <c r="AH21" s="366">
        <v>0</v>
      </c>
      <c r="AI21" s="274"/>
      <c r="AJ21" s="366">
        <v>0</v>
      </c>
      <c r="AK21" s="274"/>
      <c r="AL21" s="366">
        <f t="shared" si="3"/>
        <v>0</v>
      </c>
      <c r="AM21" s="274"/>
      <c r="AN21" s="366">
        <f t="shared" si="4"/>
        <v>37350</v>
      </c>
      <c r="AO21" s="274"/>
      <c r="AP21" s="366">
        <v>0</v>
      </c>
      <c r="AQ21" s="274"/>
      <c r="AR21" s="366">
        <v>0</v>
      </c>
      <c r="AS21" s="274"/>
      <c r="AT21" s="366">
        <v>0</v>
      </c>
      <c r="AU21" s="274"/>
      <c r="AV21" s="366">
        <f t="shared" si="5"/>
        <v>0</v>
      </c>
      <c r="AW21" s="274"/>
      <c r="AX21" s="366">
        <v>0</v>
      </c>
      <c r="AY21" s="274"/>
      <c r="AZ21" s="366">
        <f t="shared" si="6"/>
        <v>37350</v>
      </c>
    </row>
    <row r="22" spans="1:52" x14ac:dyDescent="0.25">
      <c r="A22" s="369"/>
      <c r="B22" s="369"/>
      <c r="C22" s="369"/>
      <c r="D22" s="369"/>
      <c r="E22" s="369"/>
      <c r="F22" s="369"/>
      <c r="G22" s="369" t="s">
        <v>185</v>
      </c>
      <c r="H22" s="366">
        <v>0</v>
      </c>
      <c r="I22" s="274"/>
      <c r="J22" s="366">
        <v>0</v>
      </c>
      <c r="K22" s="274"/>
      <c r="L22" s="366">
        <f t="shared" si="0"/>
        <v>0</v>
      </c>
      <c r="M22" s="274"/>
      <c r="N22" s="366">
        <v>0</v>
      </c>
      <c r="O22" s="274"/>
      <c r="P22" s="366">
        <v>0</v>
      </c>
      <c r="Q22" s="274"/>
      <c r="R22" s="366">
        <v>0</v>
      </c>
      <c r="S22" s="274"/>
      <c r="T22" s="366">
        <f t="shared" si="1"/>
        <v>0</v>
      </c>
      <c r="U22" s="274"/>
      <c r="V22" s="366">
        <v>0</v>
      </c>
      <c r="W22" s="274"/>
      <c r="X22" s="366">
        <v>0</v>
      </c>
      <c r="Y22" s="274"/>
      <c r="Z22" s="366">
        <v>0</v>
      </c>
      <c r="AA22" s="274"/>
      <c r="AB22" s="366">
        <v>1200</v>
      </c>
      <c r="AC22" s="274"/>
      <c r="AD22" s="366">
        <f t="shared" si="2"/>
        <v>1200</v>
      </c>
      <c r="AE22" s="274"/>
      <c r="AF22" s="366">
        <v>0</v>
      </c>
      <c r="AG22" s="274"/>
      <c r="AH22" s="366">
        <v>0</v>
      </c>
      <c r="AI22" s="274"/>
      <c r="AJ22" s="366">
        <v>0</v>
      </c>
      <c r="AK22" s="274"/>
      <c r="AL22" s="366">
        <f t="shared" si="3"/>
        <v>0</v>
      </c>
      <c r="AM22" s="274"/>
      <c r="AN22" s="366">
        <f t="shared" si="4"/>
        <v>1200</v>
      </c>
      <c r="AO22" s="274"/>
      <c r="AP22" s="366">
        <v>0</v>
      </c>
      <c r="AQ22" s="274"/>
      <c r="AR22" s="366">
        <v>0</v>
      </c>
      <c r="AS22" s="274"/>
      <c r="AT22" s="366">
        <v>0</v>
      </c>
      <c r="AU22" s="274"/>
      <c r="AV22" s="366">
        <f t="shared" si="5"/>
        <v>0</v>
      </c>
      <c r="AW22" s="274"/>
      <c r="AX22" s="366">
        <v>0</v>
      </c>
      <c r="AY22" s="274"/>
      <c r="AZ22" s="366">
        <f t="shared" si="6"/>
        <v>1200</v>
      </c>
    </row>
    <row r="23" spans="1:52" ht="15.75" thickBot="1" x14ac:dyDescent="0.3">
      <c r="A23" s="369"/>
      <c r="B23" s="369"/>
      <c r="C23" s="369"/>
      <c r="D23" s="369"/>
      <c r="E23" s="369"/>
      <c r="F23" s="369"/>
      <c r="G23" s="369" t="s">
        <v>473</v>
      </c>
      <c r="H23" s="365">
        <v>0</v>
      </c>
      <c r="I23" s="274"/>
      <c r="J23" s="365">
        <v>0</v>
      </c>
      <c r="K23" s="274"/>
      <c r="L23" s="365">
        <f t="shared" si="0"/>
        <v>0</v>
      </c>
      <c r="M23" s="274"/>
      <c r="N23" s="365">
        <v>125</v>
      </c>
      <c r="O23" s="274"/>
      <c r="P23" s="365">
        <v>0</v>
      </c>
      <c r="Q23" s="274"/>
      <c r="R23" s="365">
        <v>0</v>
      </c>
      <c r="S23" s="274"/>
      <c r="T23" s="365">
        <f t="shared" si="1"/>
        <v>0</v>
      </c>
      <c r="U23" s="274"/>
      <c r="V23" s="365">
        <v>0</v>
      </c>
      <c r="W23" s="274"/>
      <c r="X23" s="365">
        <v>0</v>
      </c>
      <c r="Y23" s="274"/>
      <c r="Z23" s="365">
        <v>0</v>
      </c>
      <c r="AA23" s="274"/>
      <c r="AB23" s="365">
        <v>0</v>
      </c>
      <c r="AC23" s="274"/>
      <c r="AD23" s="365">
        <f t="shared" si="2"/>
        <v>0</v>
      </c>
      <c r="AE23" s="274"/>
      <c r="AF23" s="365">
        <v>0</v>
      </c>
      <c r="AG23" s="274"/>
      <c r="AH23" s="365">
        <v>0</v>
      </c>
      <c r="AI23" s="274"/>
      <c r="AJ23" s="365">
        <v>0</v>
      </c>
      <c r="AK23" s="274"/>
      <c r="AL23" s="365">
        <f t="shared" si="3"/>
        <v>0</v>
      </c>
      <c r="AM23" s="274"/>
      <c r="AN23" s="365">
        <f t="shared" si="4"/>
        <v>0</v>
      </c>
      <c r="AO23" s="274"/>
      <c r="AP23" s="365">
        <v>0</v>
      </c>
      <c r="AQ23" s="274"/>
      <c r="AR23" s="365">
        <v>0</v>
      </c>
      <c r="AS23" s="274"/>
      <c r="AT23" s="365">
        <v>0</v>
      </c>
      <c r="AU23" s="274"/>
      <c r="AV23" s="365">
        <f t="shared" si="5"/>
        <v>0</v>
      </c>
      <c r="AW23" s="274"/>
      <c r="AX23" s="365">
        <v>0</v>
      </c>
      <c r="AY23" s="274"/>
      <c r="AZ23" s="365">
        <f t="shared" si="6"/>
        <v>125</v>
      </c>
    </row>
    <row r="24" spans="1:52" ht="15.75" thickBot="1" x14ac:dyDescent="0.3">
      <c r="A24" s="369"/>
      <c r="B24" s="369"/>
      <c r="C24" s="369"/>
      <c r="D24" s="369"/>
      <c r="E24" s="369"/>
      <c r="F24" s="369" t="s">
        <v>186</v>
      </c>
      <c r="G24" s="369"/>
      <c r="H24" s="276">
        <f>ROUND(SUM(H18:H23),5)</f>
        <v>0</v>
      </c>
      <c r="I24" s="274"/>
      <c r="J24" s="276">
        <f>ROUND(SUM(J18:J23),5)</f>
        <v>0</v>
      </c>
      <c r="K24" s="274"/>
      <c r="L24" s="276">
        <f t="shared" si="0"/>
        <v>0</v>
      </c>
      <c r="M24" s="274"/>
      <c r="N24" s="276">
        <f>ROUND(SUM(N18:N23),5)</f>
        <v>125</v>
      </c>
      <c r="O24" s="274"/>
      <c r="P24" s="276">
        <f>ROUND(SUM(P18:P23),5)</f>
        <v>0</v>
      </c>
      <c r="Q24" s="274"/>
      <c r="R24" s="276">
        <f>ROUND(SUM(R18:R23),5)</f>
        <v>0</v>
      </c>
      <c r="S24" s="274"/>
      <c r="T24" s="276">
        <f t="shared" si="1"/>
        <v>0</v>
      </c>
      <c r="U24" s="274"/>
      <c r="V24" s="276">
        <f>ROUND(SUM(V18:V23),5)</f>
        <v>0</v>
      </c>
      <c r="W24" s="274"/>
      <c r="X24" s="276">
        <f>ROUND(SUM(X18:X23),5)</f>
        <v>0</v>
      </c>
      <c r="Y24" s="274"/>
      <c r="Z24" s="276">
        <f>ROUND(SUM(Z18:Z23),5)</f>
        <v>2704.76</v>
      </c>
      <c r="AA24" s="274"/>
      <c r="AB24" s="276">
        <f>ROUND(SUM(AB18:AB23),5)</f>
        <v>38392.5</v>
      </c>
      <c r="AC24" s="274"/>
      <c r="AD24" s="276">
        <f t="shared" si="2"/>
        <v>41097.26</v>
      </c>
      <c r="AE24" s="274"/>
      <c r="AF24" s="276">
        <f>ROUND(SUM(AF18:AF23),5)</f>
        <v>0</v>
      </c>
      <c r="AG24" s="274"/>
      <c r="AH24" s="276">
        <f>ROUND(SUM(AH18:AH23),5)</f>
        <v>0</v>
      </c>
      <c r="AI24" s="274"/>
      <c r="AJ24" s="276">
        <f>ROUND(SUM(AJ18:AJ23),5)</f>
        <v>0</v>
      </c>
      <c r="AK24" s="274"/>
      <c r="AL24" s="276">
        <f t="shared" si="3"/>
        <v>0</v>
      </c>
      <c r="AM24" s="274"/>
      <c r="AN24" s="276">
        <f t="shared" si="4"/>
        <v>41097.26</v>
      </c>
      <c r="AO24" s="274"/>
      <c r="AP24" s="276">
        <f>ROUND(SUM(AP18:AP23),5)</f>
        <v>0</v>
      </c>
      <c r="AQ24" s="274"/>
      <c r="AR24" s="276">
        <f>ROUND(SUM(AR18:AR23),5)</f>
        <v>0</v>
      </c>
      <c r="AS24" s="274"/>
      <c r="AT24" s="276">
        <f>ROUND(SUM(AT18:AT23),5)</f>
        <v>0</v>
      </c>
      <c r="AU24" s="274"/>
      <c r="AV24" s="276">
        <f t="shared" si="5"/>
        <v>0</v>
      </c>
      <c r="AW24" s="274"/>
      <c r="AX24" s="276">
        <f>ROUND(SUM(AX18:AX23),5)</f>
        <v>0</v>
      </c>
      <c r="AY24" s="274"/>
      <c r="AZ24" s="276">
        <f t="shared" si="6"/>
        <v>41222.26</v>
      </c>
    </row>
    <row r="25" spans="1:52" x14ac:dyDescent="0.25">
      <c r="A25" s="369"/>
      <c r="B25" s="369"/>
      <c r="C25" s="369"/>
      <c r="D25" s="369"/>
      <c r="E25" s="369" t="s">
        <v>187</v>
      </c>
      <c r="F25" s="369"/>
      <c r="G25" s="369"/>
      <c r="H25" s="366">
        <f>ROUND(SUM(H15:H17)+H24,5)</f>
        <v>0</v>
      </c>
      <c r="I25" s="274"/>
      <c r="J25" s="366">
        <f>ROUND(SUM(J15:J17)+J24,5)</f>
        <v>0</v>
      </c>
      <c r="K25" s="274"/>
      <c r="L25" s="366">
        <f t="shared" si="0"/>
        <v>0</v>
      </c>
      <c r="M25" s="274"/>
      <c r="N25" s="366">
        <f>ROUND(SUM(N15:N17)+N24,5)</f>
        <v>1088.2</v>
      </c>
      <c r="O25" s="274"/>
      <c r="P25" s="366">
        <f>ROUND(SUM(P15:P17)+P24,5)</f>
        <v>0</v>
      </c>
      <c r="Q25" s="274"/>
      <c r="R25" s="366">
        <f>ROUND(SUM(R15:R17)+R24,5)</f>
        <v>0</v>
      </c>
      <c r="S25" s="274"/>
      <c r="T25" s="366">
        <f t="shared" si="1"/>
        <v>0</v>
      </c>
      <c r="U25" s="274"/>
      <c r="V25" s="366">
        <f>ROUND(SUM(V15:V17)+V24,5)</f>
        <v>0</v>
      </c>
      <c r="W25" s="274"/>
      <c r="X25" s="366">
        <f>ROUND(SUM(X15:X17)+X24,5)</f>
        <v>0</v>
      </c>
      <c r="Y25" s="274"/>
      <c r="Z25" s="366">
        <f>ROUND(SUM(Z15:Z17)+Z24,5)</f>
        <v>2704.76</v>
      </c>
      <c r="AA25" s="274"/>
      <c r="AB25" s="366">
        <f>ROUND(SUM(AB15:AB17)+AB24,5)</f>
        <v>38392.5</v>
      </c>
      <c r="AC25" s="274"/>
      <c r="AD25" s="366">
        <f t="shared" si="2"/>
        <v>41097.26</v>
      </c>
      <c r="AE25" s="274"/>
      <c r="AF25" s="366">
        <f>ROUND(SUM(AF15:AF17)+AF24,5)</f>
        <v>0</v>
      </c>
      <c r="AG25" s="274"/>
      <c r="AH25" s="366">
        <f>ROUND(SUM(AH15:AH17)+AH24,5)</f>
        <v>0</v>
      </c>
      <c r="AI25" s="274"/>
      <c r="AJ25" s="366">
        <f>ROUND(SUM(AJ15:AJ17)+AJ24,5)</f>
        <v>0</v>
      </c>
      <c r="AK25" s="274"/>
      <c r="AL25" s="366">
        <f t="shared" si="3"/>
        <v>0</v>
      </c>
      <c r="AM25" s="274"/>
      <c r="AN25" s="366">
        <f t="shared" si="4"/>
        <v>41097.26</v>
      </c>
      <c r="AO25" s="274"/>
      <c r="AP25" s="366">
        <f>ROUND(SUM(AP15:AP17)+AP24,5)</f>
        <v>0</v>
      </c>
      <c r="AQ25" s="274"/>
      <c r="AR25" s="366">
        <f>ROUND(SUM(AR15:AR17)+AR24,5)</f>
        <v>0</v>
      </c>
      <c r="AS25" s="274"/>
      <c r="AT25" s="366">
        <f>ROUND(SUM(AT15:AT17)+AT24,5)</f>
        <v>0</v>
      </c>
      <c r="AU25" s="274"/>
      <c r="AV25" s="366">
        <f t="shared" si="5"/>
        <v>0</v>
      </c>
      <c r="AW25" s="274"/>
      <c r="AX25" s="366">
        <f>ROUND(SUM(AX15:AX17)+AX24,5)</f>
        <v>0</v>
      </c>
      <c r="AY25" s="274"/>
      <c r="AZ25" s="366">
        <f t="shared" si="6"/>
        <v>42185.46</v>
      </c>
    </row>
    <row r="26" spans="1:52" x14ac:dyDescent="0.25">
      <c r="A26" s="369"/>
      <c r="B26" s="369"/>
      <c r="C26" s="369"/>
      <c r="D26" s="369"/>
      <c r="E26" s="369" t="s">
        <v>135</v>
      </c>
      <c r="F26" s="369"/>
      <c r="G26" s="369"/>
      <c r="H26" s="366">
        <v>0</v>
      </c>
      <c r="I26" s="274"/>
      <c r="J26" s="366">
        <v>525</v>
      </c>
      <c r="K26" s="274"/>
      <c r="L26" s="366">
        <f t="shared" si="0"/>
        <v>525</v>
      </c>
      <c r="M26" s="274"/>
      <c r="N26" s="366">
        <v>0</v>
      </c>
      <c r="O26" s="274"/>
      <c r="P26" s="366">
        <v>0</v>
      </c>
      <c r="Q26" s="274"/>
      <c r="R26" s="366">
        <v>0</v>
      </c>
      <c r="S26" s="274"/>
      <c r="T26" s="366">
        <f t="shared" si="1"/>
        <v>0</v>
      </c>
      <c r="U26" s="274"/>
      <c r="V26" s="366">
        <v>0</v>
      </c>
      <c r="W26" s="274"/>
      <c r="X26" s="366">
        <v>0</v>
      </c>
      <c r="Y26" s="274"/>
      <c r="Z26" s="366">
        <v>0</v>
      </c>
      <c r="AA26" s="274"/>
      <c r="AB26" s="366">
        <v>0</v>
      </c>
      <c r="AC26" s="274"/>
      <c r="AD26" s="366">
        <f t="shared" si="2"/>
        <v>0</v>
      </c>
      <c r="AE26" s="274"/>
      <c r="AF26" s="366">
        <v>0</v>
      </c>
      <c r="AG26" s="274"/>
      <c r="AH26" s="366">
        <v>0</v>
      </c>
      <c r="AI26" s="274"/>
      <c r="AJ26" s="366">
        <v>0</v>
      </c>
      <c r="AK26" s="274"/>
      <c r="AL26" s="366">
        <f t="shared" si="3"/>
        <v>0</v>
      </c>
      <c r="AM26" s="274"/>
      <c r="AN26" s="366">
        <f t="shared" si="4"/>
        <v>0</v>
      </c>
      <c r="AO26" s="274"/>
      <c r="AP26" s="366">
        <v>0</v>
      </c>
      <c r="AQ26" s="274"/>
      <c r="AR26" s="366">
        <v>0</v>
      </c>
      <c r="AS26" s="274"/>
      <c r="AT26" s="366">
        <v>0</v>
      </c>
      <c r="AU26" s="274"/>
      <c r="AV26" s="366">
        <f t="shared" si="5"/>
        <v>0</v>
      </c>
      <c r="AW26" s="274"/>
      <c r="AX26" s="366">
        <v>0</v>
      </c>
      <c r="AY26" s="274"/>
      <c r="AZ26" s="366">
        <f t="shared" si="6"/>
        <v>525</v>
      </c>
    </row>
    <row r="27" spans="1:52" ht="15.75" thickBot="1" x14ac:dyDescent="0.3">
      <c r="A27" s="369"/>
      <c r="B27" s="369"/>
      <c r="C27" s="369"/>
      <c r="D27" s="369"/>
      <c r="E27" s="369" t="s">
        <v>136</v>
      </c>
      <c r="F27" s="369"/>
      <c r="G27" s="369"/>
      <c r="H27" s="275">
        <v>0</v>
      </c>
      <c r="I27" s="274"/>
      <c r="J27" s="275">
        <v>166.18</v>
      </c>
      <c r="K27" s="274"/>
      <c r="L27" s="275">
        <f t="shared" si="0"/>
        <v>166.18</v>
      </c>
      <c r="M27" s="274"/>
      <c r="N27" s="275">
        <v>0</v>
      </c>
      <c r="O27" s="274"/>
      <c r="P27" s="275">
        <v>0</v>
      </c>
      <c r="Q27" s="274"/>
      <c r="R27" s="275">
        <v>0</v>
      </c>
      <c r="S27" s="274"/>
      <c r="T27" s="275">
        <f t="shared" si="1"/>
        <v>0</v>
      </c>
      <c r="U27" s="274"/>
      <c r="V27" s="275">
        <v>0</v>
      </c>
      <c r="W27" s="274"/>
      <c r="X27" s="275">
        <v>0</v>
      </c>
      <c r="Y27" s="274"/>
      <c r="Z27" s="275">
        <v>0</v>
      </c>
      <c r="AA27" s="274"/>
      <c r="AB27" s="275">
        <v>0</v>
      </c>
      <c r="AC27" s="274"/>
      <c r="AD27" s="275">
        <f t="shared" si="2"/>
        <v>0</v>
      </c>
      <c r="AE27" s="274"/>
      <c r="AF27" s="275">
        <v>0</v>
      </c>
      <c r="AG27" s="274"/>
      <c r="AH27" s="275">
        <v>0</v>
      </c>
      <c r="AI27" s="274"/>
      <c r="AJ27" s="275">
        <v>0</v>
      </c>
      <c r="AK27" s="274"/>
      <c r="AL27" s="275">
        <f t="shared" si="3"/>
        <v>0</v>
      </c>
      <c r="AM27" s="274"/>
      <c r="AN27" s="275">
        <f t="shared" si="4"/>
        <v>0</v>
      </c>
      <c r="AO27" s="274"/>
      <c r="AP27" s="275">
        <v>0</v>
      </c>
      <c r="AQ27" s="274"/>
      <c r="AR27" s="275">
        <v>0</v>
      </c>
      <c r="AS27" s="274"/>
      <c r="AT27" s="275">
        <v>0</v>
      </c>
      <c r="AU27" s="274"/>
      <c r="AV27" s="275">
        <f t="shared" si="5"/>
        <v>0</v>
      </c>
      <c r="AW27" s="274"/>
      <c r="AX27" s="275">
        <v>0</v>
      </c>
      <c r="AY27" s="274"/>
      <c r="AZ27" s="275">
        <f t="shared" si="6"/>
        <v>166.18</v>
      </c>
    </row>
    <row r="28" spans="1:52" x14ac:dyDescent="0.25">
      <c r="A28" s="369"/>
      <c r="B28" s="369"/>
      <c r="C28" s="369"/>
      <c r="D28" s="369" t="s">
        <v>9</v>
      </c>
      <c r="E28" s="369"/>
      <c r="F28" s="369"/>
      <c r="G28" s="369"/>
      <c r="H28" s="366">
        <f>ROUND(H4+H9+H14+SUM(H25:H27),5)</f>
        <v>0</v>
      </c>
      <c r="I28" s="274"/>
      <c r="J28" s="366">
        <f>ROUND(J4+J9+J14+SUM(J25:J27),5)</f>
        <v>111518.76</v>
      </c>
      <c r="K28" s="274"/>
      <c r="L28" s="366">
        <f t="shared" si="0"/>
        <v>111518.76</v>
      </c>
      <c r="M28" s="274"/>
      <c r="N28" s="366">
        <f>ROUND(N4+N9+N14+SUM(N25:N27),5)</f>
        <v>40030.980000000003</v>
      </c>
      <c r="O28" s="274"/>
      <c r="P28" s="366">
        <f>ROUND(P4+P9+P14+SUM(P25:P27),5)</f>
        <v>0</v>
      </c>
      <c r="Q28" s="274"/>
      <c r="R28" s="366">
        <f>ROUND(R4+R9+R14+SUM(R25:R27),5)</f>
        <v>0</v>
      </c>
      <c r="S28" s="274"/>
      <c r="T28" s="366">
        <f t="shared" si="1"/>
        <v>0</v>
      </c>
      <c r="U28" s="274"/>
      <c r="V28" s="366">
        <f>ROUND(V4+V9+V14+SUM(V25:V27),5)</f>
        <v>0</v>
      </c>
      <c r="W28" s="274"/>
      <c r="X28" s="366">
        <f>ROUND(X4+X9+X14+SUM(X25:X27),5)</f>
        <v>0</v>
      </c>
      <c r="Y28" s="274"/>
      <c r="Z28" s="366">
        <f>ROUND(Z4+Z9+Z14+SUM(Z25:Z27),5)</f>
        <v>2704.76</v>
      </c>
      <c r="AA28" s="274"/>
      <c r="AB28" s="366">
        <f>ROUND(AB4+AB9+AB14+SUM(AB25:AB27),5)</f>
        <v>41064.730000000003</v>
      </c>
      <c r="AC28" s="274"/>
      <c r="AD28" s="366">
        <f t="shared" si="2"/>
        <v>43769.49</v>
      </c>
      <c r="AE28" s="274"/>
      <c r="AF28" s="366">
        <f>ROUND(AF4+AF9+AF14+SUM(AF25:AF27),5)</f>
        <v>1100</v>
      </c>
      <c r="AG28" s="274"/>
      <c r="AH28" s="366">
        <f>ROUND(AH4+AH9+AH14+SUM(AH25:AH27),5)</f>
        <v>3095</v>
      </c>
      <c r="AI28" s="274"/>
      <c r="AJ28" s="366">
        <f>ROUND(AJ4+AJ9+AJ14+SUM(AJ25:AJ27),5)</f>
        <v>0</v>
      </c>
      <c r="AK28" s="274"/>
      <c r="AL28" s="366">
        <f t="shared" si="3"/>
        <v>4195</v>
      </c>
      <c r="AM28" s="274"/>
      <c r="AN28" s="366">
        <f t="shared" si="4"/>
        <v>47964.49</v>
      </c>
      <c r="AO28" s="274"/>
      <c r="AP28" s="366">
        <f>ROUND(AP4+AP9+AP14+SUM(AP25:AP27),5)</f>
        <v>0</v>
      </c>
      <c r="AQ28" s="274"/>
      <c r="AR28" s="366">
        <f>ROUND(AR4+AR9+AR14+SUM(AR25:AR27),5)</f>
        <v>0</v>
      </c>
      <c r="AS28" s="274"/>
      <c r="AT28" s="366">
        <f>ROUND(AT4+AT9+AT14+SUM(AT25:AT27),5)</f>
        <v>0</v>
      </c>
      <c r="AU28" s="274"/>
      <c r="AV28" s="366">
        <f t="shared" si="5"/>
        <v>0</v>
      </c>
      <c r="AW28" s="274"/>
      <c r="AX28" s="366">
        <f>ROUND(AX4+AX9+AX14+SUM(AX25:AX27),5)</f>
        <v>0</v>
      </c>
      <c r="AY28" s="274"/>
      <c r="AZ28" s="366">
        <f t="shared" si="6"/>
        <v>199514.23</v>
      </c>
    </row>
    <row r="29" spans="1:52" x14ac:dyDescent="0.25">
      <c r="A29" s="369"/>
      <c r="B29" s="369"/>
      <c r="C29" s="369"/>
      <c r="D29" s="369" t="s">
        <v>137</v>
      </c>
      <c r="E29" s="369"/>
      <c r="F29" s="369"/>
      <c r="G29" s="369"/>
      <c r="H29" s="366"/>
      <c r="I29" s="274"/>
      <c r="J29" s="366"/>
      <c r="K29" s="274"/>
      <c r="L29" s="366"/>
      <c r="M29" s="274"/>
      <c r="N29" s="366"/>
      <c r="O29" s="274"/>
      <c r="P29" s="366"/>
      <c r="Q29" s="274"/>
      <c r="R29" s="366"/>
      <c r="S29" s="274"/>
      <c r="T29" s="366"/>
      <c r="U29" s="274"/>
      <c r="V29" s="366"/>
      <c r="W29" s="274"/>
      <c r="X29" s="366"/>
      <c r="Y29" s="274"/>
      <c r="Z29" s="366"/>
      <c r="AA29" s="274"/>
      <c r="AB29" s="366"/>
      <c r="AC29" s="274"/>
      <c r="AD29" s="366"/>
      <c r="AE29" s="274"/>
      <c r="AF29" s="366"/>
      <c r="AG29" s="274"/>
      <c r="AH29" s="366"/>
      <c r="AI29" s="274"/>
      <c r="AJ29" s="366"/>
      <c r="AK29" s="274"/>
      <c r="AL29" s="366"/>
      <c r="AM29" s="274"/>
      <c r="AN29" s="366"/>
      <c r="AO29" s="274"/>
      <c r="AP29" s="366"/>
      <c r="AQ29" s="274"/>
      <c r="AR29" s="366"/>
      <c r="AS29" s="274"/>
      <c r="AT29" s="366"/>
      <c r="AU29" s="274"/>
      <c r="AV29" s="366"/>
      <c r="AW29" s="274"/>
      <c r="AX29" s="366"/>
      <c r="AY29" s="274"/>
      <c r="AZ29" s="366"/>
    </row>
    <row r="30" spans="1:52" ht="15.75" thickBot="1" x14ac:dyDescent="0.3">
      <c r="A30" s="369"/>
      <c r="B30" s="369"/>
      <c r="C30" s="369"/>
      <c r="D30" s="369"/>
      <c r="E30" s="369" t="s">
        <v>138</v>
      </c>
      <c r="F30" s="369"/>
      <c r="G30" s="369"/>
      <c r="H30" s="365">
        <v>0</v>
      </c>
      <c r="I30" s="274"/>
      <c r="J30" s="365">
        <v>0</v>
      </c>
      <c r="K30" s="274"/>
      <c r="L30" s="365">
        <f>ROUND(SUM(H30:J30),5)</f>
        <v>0</v>
      </c>
      <c r="M30" s="274"/>
      <c r="N30" s="365">
        <v>8.5399999999999991</v>
      </c>
      <c r="O30" s="274"/>
      <c r="P30" s="365">
        <v>0</v>
      </c>
      <c r="Q30" s="274"/>
      <c r="R30" s="365">
        <v>0</v>
      </c>
      <c r="S30" s="274"/>
      <c r="T30" s="365">
        <f>ROUND(SUM(P30:R30),5)</f>
        <v>0</v>
      </c>
      <c r="U30" s="274"/>
      <c r="V30" s="365">
        <v>0</v>
      </c>
      <c r="W30" s="274"/>
      <c r="X30" s="365">
        <v>0</v>
      </c>
      <c r="Y30" s="274"/>
      <c r="Z30" s="365">
        <v>0</v>
      </c>
      <c r="AA30" s="274"/>
      <c r="AB30" s="365">
        <v>0</v>
      </c>
      <c r="AC30" s="274"/>
      <c r="AD30" s="365">
        <f>ROUND(SUM(Z30:AB30),5)</f>
        <v>0</v>
      </c>
      <c r="AE30" s="274"/>
      <c r="AF30" s="365">
        <v>0</v>
      </c>
      <c r="AG30" s="274"/>
      <c r="AH30" s="365">
        <v>0</v>
      </c>
      <c r="AI30" s="274"/>
      <c r="AJ30" s="365">
        <v>0</v>
      </c>
      <c r="AK30" s="274"/>
      <c r="AL30" s="365">
        <f>ROUND(SUM(AF30:AJ30),5)</f>
        <v>0</v>
      </c>
      <c r="AM30" s="274"/>
      <c r="AN30" s="365">
        <f>ROUND(SUM(T30:X30)+AD30+AL30,5)</f>
        <v>0</v>
      </c>
      <c r="AO30" s="274"/>
      <c r="AP30" s="365">
        <v>0</v>
      </c>
      <c r="AQ30" s="274"/>
      <c r="AR30" s="365">
        <v>0</v>
      </c>
      <c r="AS30" s="274"/>
      <c r="AT30" s="365">
        <v>0</v>
      </c>
      <c r="AU30" s="274"/>
      <c r="AV30" s="365">
        <f>ROUND(SUM(AP30:AT30),5)</f>
        <v>0</v>
      </c>
      <c r="AW30" s="274"/>
      <c r="AX30" s="365">
        <v>0</v>
      </c>
      <c r="AY30" s="274"/>
      <c r="AZ30" s="365">
        <f>ROUND(SUM(L30:N30)+AN30+SUM(AV30:AX30),5)</f>
        <v>8.5399999999999991</v>
      </c>
    </row>
    <row r="31" spans="1:52" ht="15.75" thickBot="1" x14ac:dyDescent="0.3">
      <c r="A31" s="369"/>
      <c r="B31" s="369"/>
      <c r="C31" s="369"/>
      <c r="D31" s="369" t="s">
        <v>139</v>
      </c>
      <c r="E31" s="369"/>
      <c r="F31" s="369"/>
      <c r="G31" s="369"/>
      <c r="H31" s="276">
        <f>ROUND(SUM(H29:H30),5)</f>
        <v>0</v>
      </c>
      <c r="I31" s="274"/>
      <c r="J31" s="276">
        <f>ROUND(SUM(J29:J30),5)</f>
        <v>0</v>
      </c>
      <c r="K31" s="274"/>
      <c r="L31" s="276">
        <f>ROUND(SUM(H31:J31),5)</f>
        <v>0</v>
      </c>
      <c r="M31" s="274"/>
      <c r="N31" s="276">
        <f>ROUND(SUM(N29:N30),5)</f>
        <v>8.5399999999999991</v>
      </c>
      <c r="O31" s="274"/>
      <c r="P31" s="276">
        <f>ROUND(SUM(P29:P30),5)</f>
        <v>0</v>
      </c>
      <c r="Q31" s="274"/>
      <c r="R31" s="276">
        <f>ROUND(SUM(R29:R30),5)</f>
        <v>0</v>
      </c>
      <c r="S31" s="274"/>
      <c r="T31" s="276">
        <f>ROUND(SUM(P31:R31),5)</f>
        <v>0</v>
      </c>
      <c r="U31" s="274"/>
      <c r="V31" s="276">
        <f>ROUND(SUM(V29:V30),5)</f>
        <v>0</v>
      </c>
      <c r="W31" s="274"/>
      <c r="X31" s="276">
        <f>ROUND(SUM(X29:X30),5)</f>
        <v>0</v>
      </c>
      <c r="Y31" s="274"/>
      <c r="Z31" s="276">
        <f>ROUND(SUM(Z29:Z30),5)</f>
        <v>0</v>
      </c>
      <c r="AA31" s="274"/>
      <c r="AB31" s="276">
        <f>ROUND(SUM(AB29:AB30),5)</f>
        <v>0</v>
      </c>
      <c r="AC31" s="274"/>
      <c r="AD31" s="276">
        <f>ROUND(SUM(Z31:AB31),5)</f>
        <v>0</v>
      </c>
      <c r="AE31" s="274"/>
      <c r="AF31" s="276">
        <f>ROUND(SUM(AF29:AF30),5)</f>
        <v>0</v>
      </c>
      <c r="AG31" s="274"/>
      <c r="AH31" s="276">
        <f>ROUND(SUM(AH29:AH30),5)</f>
        <v>0</v>
      </c>
      <c r="AI31" s="274"/>
      <c r="AJ31" s="276">
        <f>ROUND(SUM(AJ29:AJ30),5)</f>
        <v>0</v>
      </c>
      <c r="AK31" s="274"/>
      <c r="AL31" s="276">
        <f>ROUND(SUM(AF31:AJ31),5)</f>
        <v>0</v>
      </c>
      <c r="AM31" s="274"/>
      <c r="AN31" s="276">
        <f>ROUND(SUM(T31:X31)+AD31+AL31,5)</f>
        <v>0</v>
      </c>
      <c r="AO31" s="274"/>
      <c r="AP31" s="276">
        <f>ROUND(SUM(AP29:AP30),5)</f>
        <v>0</v>
      </c>
      <c r="AQ31" s="274"/>
      <c r="AR31" s="276">
        <f>ROUND(SUM(AR29:AR30),5)</f>
        <v>0</v>
      </c>
      <c r="AS31" s="274"/>
      <c r="AT31" s="276">
        <f>ROUND(SUM(AT29:AT30),5)</f>
        <v>0</v>
      </c>
      <c r="AU31" s="274"/>
      <c r="AV31" s="276">
        <f>ROUND(SUM(AP31:AT31),5)</f>
        <v>0</v>
      </c>
      <c r="AW31" s="274"/>
      <c r="AX31" s="276">
        <f>ROUND(SUM(AX29:AX30),5)</f>
        <v>0</v>
      </c>
      <c r="AY31" s="274"/>
      <c r="AZ31" s="276">
        <f>ROUND(SUM(L31:N31)+AN31+SUM(AV31:AX31),5)</f>
        <v>8.5399999999999991</v>
      </c>
    </row>
    <row r="32" spans="1:52" x14ac:dyDescent="0.25">
      <c r="A32" s="369"/>
      <c r="B32" s="369"/>
      <c r="C32" s="369" t="s">
        <v>140</v>
      </c>
      <c r="D32" s="369"/>
      <c r="E32" s="369"/>
      <c r="F32" s="369"/>
      <c r="G32" s="369"/>
      <c r="H32" s="366">
        <f>ROUND(H28-H31,5)</f>
        <v>0</v>
      </c>
      <c r="I32" s="274"/>
      <c r="J32" s="366">
        <f>ROUND(J28-J31,5)</f>
        <v>111518.76</v>
      </c>
      <c r="K32" s="274"/>
      <c r="L32" s="366">
        <f>ROUND(SUM(H32:J32),5)</f>
        <v>111518.76</v>
      </c>
      <c r="M32" s="274"/>
      <c r="N32" s="366">
        <f>ROUND(N28-N31,5)</f>
        <v>40022.44</v>
      </c>
      <c r="O32" s="274"/>
      <c r="P32" s="366">
        <f>ROUND(P28-P31,5)</f>
        <v>0</v>
      </c>
      <c r="Q32" s="274"/>
      <c r="R32" s="366">
        <f>ROUND(R28-R31,5)</f>
        <v>0</v>
      </c>
      <c r="S32" s="274"/>
      <c r="T32" s="366">
        <f>ROUND(SUM(P32:R32),5)</f>
        <v>0</v>
      </c>
      <c r="U32" s="274"/>
      <c r="V32" s="366">
        <f>ROUND(V28-V31,5)</f>
        <v>0</v>
      </c>
      <c r="W32" s="274"/>
      <c r="X32" s="366">
        <f>ROUND(X28-X31,5)</f>
        <v>0</v>
      </c>
      <c r="Y32" s="274"/>
      <c r="Z32" s="366">
        <f>ROUND(Z28-Z31,5)</f>
        <v>2704.76</v>
      </c>
      <c r="AA32" s="274"/>
      <c r="AB32" s="366">
        <f>ROUND(AB28-AB31,5)</f>
        <v>41064.730000000003</v>
      </c>
      <c r="AC32" s="274"/>
      <c r="AD32" s="366">
        <f>ROUND(SUM(Z32:AB32),5)</f>
        <v>43769.49</v>
      </c>
      <c r="AE32" s="274"/>
      <c r="AF32" s="366">
        <f>ROUND(AF28-AF31,5)</f>
        <v>1100</v>
      </c>
      <c r="AG32" s="274"/>
      <c r="AH32" s="366">
        <f>ROUND(AH28-AH31,5)</f>
        <v>3095</v>
      </c>
      <c r="AI32" s="274"/>
      <c r="AJ32" s="366">
        <f>ROUND(AJ28-AJ31,5)</f>
        <v>0</v>
      </c>
      <c r="AK32" s="274"/>
      <c r="AL32" s="366">
        <f>ROUND(SUM(AF32:AJ32),5)</f>
        <v>4195</v>
      </c>
      <c r="AM32" s="274"/>
      <c r="AN32" s="366">
        <f>ROUND(SUM(T32:X32)+AD32+AL32,5)</f>
        <v>47964.49</v>
      </c>
      <c r="AO32" s="274"/>
      <c r="AP32" s="366">
        <f>ROUND(AP28-AP31,5)</f>
        <v>0</v>
      </c>
      <c r="AQ32" s="274"/>
      <c r="AR32" s="366">
        <f>ROUND(AR28-AR31,5)</f>
        <v>0</v>
      </c>
      <c r="AS32" s="274"/>
      <c r="AT32" s="366">
        <f>ROUND(AT28-AT31,5)</f>
        <v>0</v>
      </c>
      <c r="AU32" s="274"/>
      <c r="AV32" s="366">
        <f>ROUND(SUM(AP32:AT32),5)</f>
        <v>0</v>
      </c>
      <c r="AW32" s="274"/>
      <c r="AX32" s="366">
        <f>ROUND(AX28-AX31,5)</f>
        <v>0</v>
      </c>
      <c r="AY32" s="274"/>
      <c r="AZ32" s="366">
        <f>ROUND(SUM(L32:N32)+AN32+SUM(AV32:AX32),5)</f>
        <v>199505.69</v>
      </c>
    </row>
    <row r="33" spans="1:52" x14ac:dyDescent="0.25">
      <c r="A33" s="369"/>
      <c r="B33" s="369"/>
      <c r="C33" s="369"/>
      <c r="D33" s="369" t="s">
        <v>141</v>
      </c>
      <c r="E33" s="369"/>
      <c r="F33" s="369"/>
      <c r="G33" s="369"/>
      <c r="H33" s="366"/>
      <c r="I33" s="274"/>
      <c r="J33" s="366"/>
      <c r="K33" s="274"/>
      <c r="L33" s="366"/>
      <c r="M33" s="274"/>
      <c r="N33" s="366"/>
      <c r="O33" s="274"/>
      <c r="P33" s="366"/>
      <c r="Q33" s="274"/>
      <c r="R33" s="366"/>
      <c r="S33" s="274"/>
      <c r="T33" s="366"/>
      <c r="U33" s="274"/>
      <c r="V33" s="366"/>
      <c r="W33" s="274"/>
      <c r="X33" s="366"/>
      <c r="Y33" s="274"/>
      <c r="Z33" s="366"/>
      <c r="AA33" s="274"/>
      <c r="AB33" s="366"/>
      <c r="AC33" s="274"/>
      <c r="AD33" s="366"/>
      <c r="AE33" s="274"/>
      <c r="AF33" s="366"/>
      <c r="AG33" s="274"/>
      <c r="AH33" s="366"/>
      <c r="AI33" s="274"/>
      <c r="AJ33" s="366"/>
      <c r="AK33" s="274"/>
      <c r="AL33" s="366"/>
      <c r="AM33" s="274"/>
      <c r="AN33" s="366"/>
      <c r="AO33" s="274"/>
      <c r="AP33" s="366"/>
      <c r="AQ33" s="274"/>
      <c r="AR33" s="366"/>
      <c r="AS33" s="274"/>
      <c r="AT33" s="366"/>
      <c r="AU33" s="274"/>
      <c r="AV33" s="366"/>
      <c r="AW33" s="274"/>
      <c r="AX33" s="366"/>
      <c r="AY33" s="274"/>
      <c r="AZ33" s="366"/>
    </row>
    <row r="34" spans="1:52" x14ac:dyDescent="0.25">
      <c r="A34" s="369"/>
      <c r="B34" s="369"/>
      <c r="C34" s="369"/>
      <c r="D34" s="369"/>
      <c r="E34" s="369" t="s">
        <v>142</v>
      </c>
      <c r="F34" s="369"/>
      <c r="G34" s="369"/>
      <c r="H34" s="366">
        <v>2563.29</v>
      </c>
      <c r="I34" s="274"/>
      <c r="J34" s="366">
        <v>6300.89</v>
      </c>
      <c r="K34" s="274"/>
      <c r="L34" s="366">
        <f t="shared" ref="L34:L51" si="7">ROUND(SUM(H34:J34),5)</f>
        <v>8864.18</v>
      </c>
      <c r="M34" s="274"/>
      <c r="N34" s="366">
        <v>8135.63</v>
      </c>
      <c r="O34" s="274"/>
      <c r="P34" s="366">
        <v>1171.6600000000001</v>
      </c>
      <c r="Q34" s="274"/>
      <c r="R34" s="366">
        <v>0</v>
      </c>
      <c r="S34" s="274"/>
      <c r="T34" s="366">
        <f t="shared" ref="T34:T51" si="8">ROUND(SUM(P34:R34),5)</f>
        <v>1171.6600000000001</v>
      </c>
      <c r="U34" s="274"/>
      <c r="V34" s="366">
        <v>6005.13</v>
      </c>
      <c r="W34" s="274"/>
      <c r="X34" s="366">
        <v>442.72</v>
      </c>
      <c r="Y34" s="274"/>
      <c r="Z34" s="366">
        <v>0</v>
      </c>
      <c r="AA34" s="274"/>
      <c r="AB34" s="366">
        <v>10765.72</v>
      </c>
      <c r="AC34" s="274"/>
      <c r="AD34" s="366">
        <f t="shared" ref="AD34:AD51" si="9">ROUND(SUM(Z34:AB34),5)</f>
        <v>10765.72</v>
      </c>
      <c r="AE34" s="274"/>
      <c r="AF34" s="366">
        <v>0</v>
      </c>
      <c r="AG34" s="274"/>
      <c r="AH34" s="366">
        <v>10295.19</v>
      </c>
      <c r="AI34" s="274"/>
      <c r="AJ34" s="366">
        <v>29663.31</v>
      </c>
      <c r="AK34" s="274"/>
      <c r="AL34" s="366">
        <f t="shared" ref="AL34:AL51" si="10">ROUND(SUM(AF34:AJ34),5)</f>
        <v>39958.5</v>
      </c>
      <c r="AM34" s="274"/>
      <c r="AN34" s="366">
        <f t="shared" ref="AN34:AN51" si="11">ROUND(SUM(T34:X34)+AD34+AL34,5)</f>
        <v>58343.73</v>
      </c>
      <c r="AO34" s="274"/>
      <c r="AP34" s="366">
        <v>0</v>
      </c>
      <c r="AQ34" s="274"/>
      <c r="AR34" s="366">
        <v>0</v>
      </c>
      <c r="AS34" s="274"/>
      <c r="AT34" s="366">
        <v>0</v>
      </c>
      <c r="AU34" s="274"/>
      <c r="AV34" s="366">
        <f t="shared" ref="AV34:AV51" si="12">ROUND(SUM(AP34:AT34),5)</f>
        <v>0</v>
      </c>
      <c r="AW34" s="274"/>
      <c r="AX34" s="366">
        <v>0</v>
      </c>
      <c r="AY34" s="274"/>
      <c r="AZ34" s="366">
        <f t="shared" ref="AZ34:AZ51" si="13">ROUND(SUM(L34:N34)+AN34+SUM(AV34:AX34),5)</f>
        <v>75343.539999999994</v>
      </c>
    </row>
    <row r="35" spans="1:52" s="86" customFormat="1" x14ac:dyDescent="0.25">
      <c r="A35" s="622"/>
      <c r="B35" s="622"/>
      <c r="C35" s="622"/>
      <c r="D35" s="622"/>
      <c r="E35" s="622" t="s">
        <v>144</v>
      </c>
      <c r="F35" s="622"/>
      <c r="G35" s="622"/>
      <c r="H35" s="623">
        <v>0</v>
      </c>
      <c r="I35" s="624"/>
      <c r="J35" s="623">
        <v>176.49</v>
      </c>
      <c r="K35" s="624"/>
      <c r="L35" s="623">
        <f t="shared" si="7"/>
        <v>176.49</v>
      </c>
      <c r="M35" s="624"/>
      <c r="N35" s="623">
        <v>1315.72</v>
      </c>
      <c r="O35" s="624"/>
      <c r="P35" s="623">
        <v>0</v>
      </c>
      <c r="Q35" s="624"/>
      <c r="R35" s="623">
        <v>0</v>
      </c>
      <c r="S35" s="624"/>
      <c r="T35" s="623">
        <f t="shared" si="8"/>
        <v>0</v>
      </c>
      <c r="U35" s="624"/>
      <c r="V35" s="623">
        <v>0</v>
      </c>
      <c r="W35" s="624"/>
      <c r="X35" s="623">
        <v>0</v>
      </c>
      <c r="Y35" s="624"/>
      <c r="Z35" s="623">
        <v>0</v>
      </c>
      <c r="AA35" s="624"/>
      <c r="AB35" s="623">
        <v>302.7</v>
      </c>
      <c r="AC35" s="624"/>
      <c r="AD35" s="623">
        <f t="shared" si="9"/>
        <v>302.7</v>
      </c>
      <c r="AE35" s="624"/>
      <c r="AF35" s="623">
        <v>0</v>
      </c>
      <c r="AG35" s="624"/>
      <c r="AH35" s="623">
        <v>0</v>
      </c>
      <c r="AI35" s="624"/>
      <c r="AJ35" s="623">
        <v>0</v>
      </c>
      <c r="AK35" s="624"/>
      <c r="AL35" s="623">
        <f t="shared" si="10"/>
        <v>0</v>
      </c>
      <c r="AM35" s="624"/>
      <c r="AN35" s="623">
        <f t="shared" si="11"/>
        <v>302.7</v>
      </c>
      <c r="AO35" s="624"/>
      <c r="AP35" s="623">
        <v>0</v>
      </c>
      <c r="AQ35" s="624"/>
      <c r="AR35" s="623">
        <v>0</v>
      </c>
      <c r="AS35" s="624"/>
      <c r="AT35" s="623">
        <v>0</v>
      </c>
      <c r="AU35" s="624"/>
      <c r="AV35" s="623">
        <f t="shared" si="12"/>
        <v>0</v>
      </c>
      <c r="AW35" s="624"/>
      <c r="AX35" s="623">
        <v>0</v>
      </c>
      <c r="AY35" s="624"/>
      <c r="AZ35" s="623">
        <f t="shared" si="13"/>
        <v>1794.91</v>
      </c>
    </row>
    <row r="36" spans="1:52" s="86" customFormat="1" x14ac:dyDescent="0.25">
      <c r="A36" s="622"/>
      <c r="B36" s="622"/>
      <c r="C36" s="622"/>
      <c r="D36" s="622"/>
      <c r="E36" s="622" t="s">
        <v>145</v>
      </c>
      <c r="F36" s="622"/>
      <c r="G36" s="622"/>
      <c r="H36" s="623">
        <v>0</v>
      </c>
      <c r="I36" s="624"/>
      <c r="J36" s="623">
        <v>0</v>
      </c>
      <c r="K36" s="624"/>
      <c r="L36" s="623">
        <f t="shared" si="7"/>
        <v>0</v>
      </c>
      <c r="M36" s="624"/>
      <c r="N36" s="623">
        <v>0</v>
      </c>
      <c r="O36" s="624"/>
      <c r="P36" s="623">
        <v>0</v>
      </c>
      <c r="Q36" s="624"/>
      <c r="R36" s="623">
        <v>0</v>
      </c>
      <c r="S36" s="624"/>
      <c r="T36" s="623">
        <f t="shared" si="8"/>
        <v>0</v>
      </c>
      <c r="U36" s="624"/>
      <c r="V36" s="623">
        <v>0</v>
      </c>
      <c r="W36" s="624"/>
      <c r="X36" s="623">
        <v>0</v>
      </c>
      <c r="Y36" s="624"/>
      <c r="Z36" s="623">
        <v>0</v>
      </c>
      <c r="AA36" s="624"/>
      <c r="AB36" s="623">
        <v>0</v>
      </c>
      <c r="AC36" s="624"/>
      <c r="AD36" s="623">
        <f t="shared" si="9"/>
        <v>0</v>
      </c>
      <c r="AE36" s="624"/>
      <c r="AF36" s="623">
        <v>4640.08</v>
      </c>
      <c r="AG36" s="624"/>
      <c r="AH36" s="623">
        <v>0</v>
      </c>
      <c r="AI36" s="624"/>
      <c r="AJ36" s="623">
        <v>0</v>
      </c>
      <c r="AK36" s="624"/>
      <c r="AL36" s="623">
        <f t="shared" si="10"/>
        <v>4640.08</v>
      </c>
      <c r="AM36" s="624"/>
      <c r="AN36" s="623">
        <f t="shared" si="11"/>
        <v>4640.08</v>
      </c>
      <c r="AO36" s="624"/>
      <c r="AP36" s="623">
        <v>0</v>
      </c>
      <c r="AQ36" s="624"/>
      <c r="AR36" s="623">
        <v>0</v>
      </c>
      <c r="AS36" s="624"/>
      <c r="AT36" s="623">
        <v>0</v>
      </c>
      <c r="AU36" s="624"/>
      <c r="AV36" s="623">
        <f t="shared" si="12"/>
        <v>0</v>
      </c>
      <c r="AW36" s="624"/>
      <c r="AX36" s="623">
        <v>0</v>
      </c>
      <c r="AY36" s="624"/>
      <c r="AZ36" s="623">
        <f t="shared" si="13"/>
        <v>4640.08</v>
      </c>
    </row>
    <row r="37" spans="1:52" s="86" customFormat="1" x14ac:dyDescent="0.25">
      <c r="A37" s="622"/>
      <c r="B37" s="622"/>
      <c r="C37" s="622"/>
      <c r="D37" s="622"/>
      <c r="E37" s="622" t="s">
        <v>147</v>
      </c>
      <c r="F37" s="622"/>
      <c r="G37" s="622"/>
      <c r="H37" s="623">
        <v>30.14</v>
      </c>
      <c r="I37" s="624"/>
      <c r="J37" s="623">
        <v>97.94</v>
      </c>
      <c r="K37" s="624"/>
      <c r="L37" s="623">
        <f t="shared" si="7"/>
        <v>128.08000000000001</v>
      </c>
      <c r="M37" s="624"/>
      <c r="N37" s="623">
        <v>105.52</v>
      </c>
      <c r="O37" s="624"/>
      <c r="P37" s="623">
        <v>22.61</v>
      </c>
      <c r="Q37" s="624"/>
      <c r="R37" s="623">
        <v>0</v>
      </c>
      <c r="S37" s="624"/>
      <c r="T37" s="623">
        <f t="shared" si="8"/>
        <v>22.61</v>
      </c>
      <c r="U37" s="624"/>
      <c r="V37" s="623">
        <v>90.44</v>
      </c>
      <c r="W37" s="624"/>
      <c r="X37" s="623">
        <v>27.58</v>
      </c>
      <c r="Y37" s="624"/>
      <c r="Z37" s="623">
        <v>0</v>
      </c>
      <c r="AA37" s="624"/>
      <c r="AB37" s="623">
        <v>263.77999999999997</v>
      </c>
      <c r="AC37" s="624"/>
      <c r="AD37" s="623">
        <f t="shared" si="9"/>
        <v>263.77999999999997</v>
      </c>
      <c r="AE37" s="624"/>
      <c r="AF37" s="623">
        <v>0</v>
      </c>
      <c r="AG37" s="624"/>
      <c r="AH37" s="623">
        <v>263.79000000000002</v>
      </c>
      <c r="AI37" s="624"/>
      <c r="AJ37" s="623">
        <v>271.33</v>
      </c>
      <c r="AK37" s="624"/>
      <c r="AL37" s="623">
        <f t="shared" si="10"/>
        <v>535.12</v>
      </c>
      <c r="AM37" s="624"/>
      <c r="AN37" s="623">
        <f t="shared" si="11"/>
        <v>939.53</v>
      </c>
      <c r="AO37" s="624"/>
      <c r="AP37" s="623">
        <v>0</v>
      </c>
      <c r="AQ37" s="624"/>
      <c r="AR37" s="623">
        <v>0</v>
      </c>
      <c r="AS37" s="624"/>
      <c r="AT37" s="623">
        <v>0</v>
      </c>
      <c r="AU37" s="624"/>
      <c r="AV37" s="623">
        <f t="shared" si="12"/>
        <v>0</v>
      </c>
      <c r="AW37" s="624"/>
      <c r="AX37" s="623">
        <v>0</v>
      </c>
      <c r="AY37" s="624"/>
      <c r="AZ37" s="623">
        <f t="shared" si="13"/>
        <v>1173.1300000000001</v>
      </c>
    </row>
    <row r="38" spans="1:52" x14ac:dyDescent="0.25">
      <c r="A38" s="369"/>
      <c r="B38" s="369"/>
      <c r="C38" s="369"/>
      <c r="D38" s="369"/>
      <c r="E38" s="369" t="s">
        <v>148</v>
      </c>
      <c r="F38" s="369"/>
      <c r="G38" s="369"/>
      <c r="H38" s="366">
        <v>4.3600000000000003</v>
      </c>
      <c r="I38" s="274"/>
      <c r="J38" s="366">
        <v>13.08</v>
      </c>
      <c r="K38" s="274"/>
      <c r="L38" s="366">
        <f t="shared" si="7"/>
        <v>17.440000000000001</v>
      </c>
      <c r="M38" s="274"/>
      <c r="N38" s="366">
        <v>148.43</v>
      </c>
      <c r="O38" s="274"/>
      <c r="P38" s="366">
        <v>3.27</v>
      </c>
      <c r="Q38" s="274"/>
      <c r="R38" s="366">
        <v>0</v>
      </c>
      <c r="S38" s="274"/>
      <c r="T38" s="366">
        <f t="shared" si="8"/>
        <v>3.27</v>
      </c>
      <c r="U38" s="274"/>
      <c r="V38" s="366">
        <v>13.08</v>
      </c>
      <c r="W38" s="274"/>
      <c r="X38" s="366">
        <v>2.1800000000000002</v>
      </c>
      <c r="Y38" s="274"/>
      <c r="Z38" s="366">
        <v>0</v>
      </c>
      <c r="AA38" s="274"/>
      <c r="AB38" s="366">
        <v>38.159999999999997</v>
      </c>
      <c r="AC38" s="274"/>
      <c r="AD38" s="366">
        <f t="shared" si="9"/>
        <v>38.159999999999997</v>
      </c>
      <c r="AE38" s="274"/>
      <c r="AF38" s="366">
        <v>-35.979999999999997</v>
      </c>
      <c r="AG38" s="274"/>
      <c r="AH38" s="366">
        <v>38.15</v>
      </c>
      <c r="AI38" s="274"/>
      <c r="AJ38" s="366">
        <v>39.24</v>
      </c>
      <c r="AK38" s="274"/>
      <c r="AL38" s="366">
        <f t="shared" si="10"/>
        <v>41.41</v>
      </c>
      <c r="AM38" s="274"/>
      <c r="AN38" s="366">
        <f t="shared" si="11"/>
        <v>98.1</v>
      </c>
      <c r="AO38" s="274"/>
      <c r="AP38" s="366">
        <v>0</v>
      </c>
      <c r="AQ38" s="274"/>
      <c r="AR38" s="366">
        <v>0</v>
      </c>
      <c r="AS38" s="274"/>
      <c r="AT38" s="366">
        <v>0</v>
      </c>
      <c r="AU38" s="274"/>
      <c r="AV38" s="366">
        <f t="shared" si="12"/>
        <v>0</v>
      </c>
      <c r="AW38" s="274"/>
      <c r="AX38" s="366">
        <v>0</v>
      </c>
      <c r="AY38" s="274"/>
      <c r="AZ38" s="366">
        <f t="shared" si="13"/>
        <v>263.97000000000003</v>
      </c>
    </row>
    <row r="39" spans="1:52" x14ac:dyDescent="0.25">
      <c r="A39" s="369"/>
      <c r="B39" s="369"/>
      <c r="C39" s="369"/>
      <c r="D39" s="369"/>
      <c r="E39" s="369" t="s">
        <v>149</v>
      </c>
      <c r="F39" s="369"/>
      <c r="G39" s="369"/>
      <c r="H39" s="366">
        <v>134.02000000000001</v>
      </c>
      <c r="I39" s="274"/>
      <c r="J39" s="366">
        <v>606.75</v>
      </c>
      <c r="K39" s="274"/>
      <c r="L39" s="366">
        <f t="shared" si="7"/>
        <v>740.77</v>
      </c>
      <c r="M39" s="274"/>
      <c r="N39" s="366">
        <v>419.7</v>
      </c>
      <c r="O39" s="274"/>
      <c r="P39" s="366">
        <v>78.33</v>
      </c>
      <c r="Q39" s="274"/>
      <c r="R39" s="366">
        <v>0</v>
      </c>
      <c r="S39" s="274"/>
      <c r="T39" s="366">
        <f t="shared" si="8"/>
        <v>78.33</v>
      </c>
      <c r="U39" s="274"/>
      <c r="V39" s="366">
        <v>321.63</v>
      </c>
      <c r="W39" s="274"/>
      <c r="X39" s="366">
        <v>53.94</v>
      </c>
      <c r="Y39" s="274"/>
      <c r="Z39" s="366">
        <v>0</v>
      </c>
      <c r="AA39" s="274"/>
      <c r="AB39" s="366">
        <v>902.02</v>
      </c>
      <c r="AC39" s="274"/>
      <c r="AD39" s="366">
        <f t="shared" si="9"/>
        <v>902.02</v>
      </c>
      <c r="AE39" s="274"/>
      <c r="AF39" s="366">
        <v>0</v>
      </c>
      <c r="AG39" s="274"/>
      <c r="AH39" s="366">
        <v>657.15</v>
      </c>
      <c r="AI39" s="274"/>
      <c r="AJ39" s="366">
        <v>746.83</v>
      </c>
      <c r="AK39" s="274"/>
      <c r="AL39" s="366">
        <f t="shared" si="10"/>
        <v>1403.98</v>
      </c>
      <c r="AM39" s="274"/>
      <c r="AN39" s="366">
        <f t="shared" si="11"/>
        <v>2759.9</v>
      </c>
      <c r="AO39" s="274"/>
      <c r="AP39" s="366">
        <v>0</v>
      </c>
      <c r="AQ39" s="274"/>
      <c r="AR39" s="366">
        <v>0</v>
      </c>
      <c r="AS39" s="274"/>
      <c r="AT39" s="366">
        <v>0</v>
      </c>
      <c r="AU39" s="274"/>
      <c r="AV39" s="366">
        <f t="shared" si="12"/>
        <v>0</v>
      </c>
      <c r="AW39" s="274"/>
      <c r="AX39" s="366">
        <v>0</v>
      </c>
      <c r="AY39" s="274"/>
      <c r="AZ39" s="366">
        <f t="shared" si="13"/>
        <v>3920.37</v>
      </c>
    </row>
    <row r="40" spans="1:52" x14ac:dyDescent="0.25">
      <c r="A40" s="369"/>
      <c r="B40" s="369"/>
      <c r="C40" s="369"/>
      <c r="D40" s="369"/>
      <c r="E40" s="369" t="s">
        <v>150</v>
      </c>
      <c r="F40" s="369"/>
      <c r="G40" s="369"/>
      <c r="H40" s="366">
        <v>20.52</v>
      </c>
      <c r="I40" s="274"/>
      <c r="J40" s="366">
        <v>61.53</v>
      </c>
      <c r="K40" s="274"/>
      <c r="L40" s="366">
        <f t="shared" si="7"/>
        <v>82.05</v>
      </c>
      <c r="M40" s="274"/>
      <c r="N40" s="366">
        <v>71.760000000000005</v>
      </c>
      <c r="O40" s="274"/>
      <c r="P40" s="366">
        <v>15.39</v>
      </c>
      <c r="Q40" s="274"/>
      <c r="R40" s="366">
        <v>0</v>
      </c>
      <c r="S40" s="274"/>
      <c r="T40" s="366">
        <f t="shared" si="8"/>
        <v>15.39</v>
      </c>
      <c r="U40" s="274"/>
      <c r="V40" s="366">
        <v>61.53</v>
      </c>
      <c r="W40" s="274"/>
      <c r="X40" s="366">
        <v>10.26</v>
      </c>
      <c r="Y40" s="274"/>
      <c r="Z40" s="366">
        <v>0</v>
      </c>
      <c r="AA40" s="274"/>
      <c r="AB40" s="366">
        <v>179.43</v>
      </c>
      <c r="AC40" s="274"/>
      <c r="AD40" s="366">
        <f t="shared" si="9"/>
        <v>179.43</v>
      </c>
      <c r="AE40" s="274"/>
      <c r="AF40" s="366">
        <v>0</v>
      </c>
      <c r="AG40" s="274"/>
      <c r="AH40" s="366">
        <v>179.37</v>
      </c>
      <c r="AI40" s="274"/>
      <c r="AJ40" s="366">
        <v>184.56</v>
      </c>
      <c r="AK40" s="274"/>
      <c r="AL40" s="366">
        <f t="shared" si="10"/>
        <v>363.93</v>
      </c>
      <c r="AM40" s="274"/>
      <c r="AN40" s="366">
        <f t="shared" si="11"/>
        <v>630.54</v>
      </c>
      <c r="AO40" s="274"/>
      <c r="AP40" s="366">
        <v>0</v>
      </c>
      <c r="AQ40" s="274"/>
      <c r="AR40" s="366">
        <v>0</v>
      </c>
      <c r="AS40" s="274"/>
      <c r="AT40" s="366">
        <v>0</v>
      </c>
      <c r="AU40" s="274"/>
      <c r="AV40" s="366">
        <f t="shared" si="12"/>
        <v>0</v>
      </c>
      <c r="AW40" s="274"/>
      <c r="AX40" s="366">
        <v>0</v>
      </c>
      <c r="AY40" s="274"/>
      <c r="AZ40" s="366">
        <f t="shared" si="13"/>
        <v>784.35</v>
      </c>
    </row>
    <row r="41" spans="1:52" x14ac:dyDescent="0.25">
      <c r="A41" s="369"/>
      <c r="B41" s="369"/>
      <c r="C41" s="369"/>
      <c r="D41" s="369"/>
      <c r="E41" s="369" t="s">
        <v>151</v>
      </c>
      <c r="F41" s="369"/>
      <c r="G41" s="369"/>
      <c r="H41" s="366">
        <v>3.63</v>
      </c>
      <c r="I41" s="274"/>
      <c r="J41" s="366">
        <v>10.89</v>
      </c>
      <c r="K41" s="274"/>
      <c r="L41" s="366">
        <f t="shared" si="7"/>
        <v>14.52</v>
      </c>
      <c r="M41" s="274"/>
      <c r="N41" s="366">
        <v>2315.14</v>
      </c>
      <c r="O41" s="274"/>
      <c r="P41" s="366">
        <v>2.73</v>
      </c>
      <c r="Q41" s="274"/>
      <c r="R41" s="366">
        <v>0</v>
      </c>
      <c r="S41" s="274"/>
      <c r="T41" s="366">
        <f t="shared" si="8"/>
        <v>2.73</v>
      </c>
      <c r="U41" s="274"/>
      <c r="V41" s="366">
        <v>10.89</v>
      </c>
      <c r="W41" s="274"/>
      <c r="X41" s="366">
        <v>1.83</v>
      </c>
      <c r="Y41" s="274"/>
      <c r="Z41" s="366">
        <v>0</v>
      </c>
      <c r="AA41" s="274"/>
      <c r="AB41" s="366">
        <v>31.77</v>
      </c>
      <c r="AC41" s="274"/>
      <c r="AD41" s="366">
        <f t="shared" si="9"/>
        <v>31.77</v>
      </c>
      <c r="AE41" s="274"/>
      <c r="AF41" s="366">
        <v>0</v>
      </c>
      <c r="AG41" s="274"/>
      <c r="AH41" s="366">
        <v>31.76</v>
      </c>
      <c r="AI41" s="274"/>
      <c r="AJ41" s="366">
        <v>32.700000000000003</v>
      </c>
      <c r="AK41" s="274"/>
      <c r="AL41" s="366">
        <f t="shared" si="10"/>
        <v>64.459999999999994</v>
      </c>
      <c r="AM41" s="274"/>
      <c r="AN41" s="366">
        <f t="shared" si="11"/>
        <v>111.68</v>
      </c>
      <c r="AO41" s="274"/>
      <c r="AP41" s="366">
        <v>0</v>
      </c>
      <c r="AQ41" s="274"/>
      <c r="AR41" s="366">
        <v>0</v>
      </c>
      <c r="AS41" s="274"/>
      <c r="AT41" s="366">
        <v>0</v>
      </c>
      <c r="AU41" s="274"/>
      <c r="AV41" s="366">
        <f t="shared" si="12"/>
        <v>0</v>
      </c>
      <c r="AW41" s="274"/>
      <c r="AX41" s="366">
        <v>0</v>
      </c>
      <c r="AY41" s="274"/>
      <c r="AZ41" s="366">
        <f t="shared" si="13"/>
        <v>2441.34</v>
      </c>
    </row>
    <row r="42" spans="1:52" s="86" customFormat="1" x14ac:dyDescent="0.25">
      <c r="A42" s="622"/>
      <c r="B42" s="622"/>
      <c r="C42" s="622"/>
      <c r="D42" s="622"/>
      <c r="E42" s="622" t="s">
        <v>153</v>
      </c>
      <c r="F42" s="622"/>
      <c r="G42" s="622"/>
      <c r="H42" s="623">
        <v>0</v>
      </c>
      <c r="I42" s="624"/>
      <c r="J42" s="623">
        <v>0</v>
      </c>
      <c r="K42" s="624"/>
      <c r="L42" s="623">
        <f t="shared" si="7"/>
        <v>0</v>
      </c>
      <c r="M42" s="624"/>
      <c r="N42" s="623">
        <v>260</v>
      </c>
      <c r="O42" s="624"/>
      <c r="P42" s="623">
        <v>0</v>
      </c>
      <c r="Q42" s="624"/>
      <c r="R42" s="623">
        <v>0</v>
      </c>
      <c r="S42" s="624"/>
      <c r="T42" s="623">
        <f t="shared" si="8"/>
        <v>0</v>
      </c>
      <c r="U42" s="624"/>
      <c r="V42" s="623">
        <v>0</v>
      </c>
      <c r="W42" s="624"/>
      <c r="X42" s="623">
        <v>0</v>
      </c>
      <c r="Y42" s="624"/>
      <c r="Z42" s="623">
        <v>0</v>
      </c>
      <c r="AA42" s="624"/>
      <c r="AB42" s="623">
        <v>0</v>
      </c>
      <c r="AC42" s="624"/>
      <c r="AD42" s="623">
        <f t="shared" si="9"/>
        <v>0</v>
      </c>
      <c r="AE42" s="624"/>
      <c r="AF42" s="623">
        <v>0</v>
      </c>
      <c r="AG42" s="624"/>
      <c r="AH42" s="623">
        <v>0</v>
      </c>
      <c r="AI42" s="624"/>
      <c r="AJ42" s="623">
        <v>0</v>
      </c>
      <c r="AK42" s="624"/>
      <c r="AL42" s="623">
        <f t="shared" si="10"/>
        <v>0</v>
      </c>
      <c r="AM42" s="624"/>
      <c r="AN42" s="623">
        <f t="shared" si="11"/>
        <v>0</v>
      </c>
      <c r="AO42" s="624"/>
      <c r="AP42" s="623">
        <v>0</v>
      </c>
      <c r="AQ42" s="624"/>
      <c r="AR42" s="623">
        <v>0</v>
      </c>
      <c r="AS42" s="624"/>
      <c r="AT42" s="623">
        <v>0</v>
      </c>
      <c r="AU42" s="624"/>
      <c r="AV42" s="623">
        <f t="shared" si="12"/>
        <v>0</v>
      </c>
      <c r="AW42" s="624"/>
      <c r="AX42" s="623">
        <v>0</v>
      </c>
      <c r="AY42" s="624"/>
      <c r="AZ42" s="623">
        <f t="shared" si="13"/>
        <v>260</v>
      </c>
    </row>
    <row r="43" spans="1:52" s="86" customFormat="1" x14ac:dyDescent="0.25">
      <c r="A43" s="622"/>
      <c r="B43" s="622"/>
      <c r="C43" s="622"/>
      <c r="D43" s="622"/>
      <c r="E43" s="622" t="s">
        <v>154</v>
      </c>
      <c r="F43" s="622"/>
      <c r="G43" s="622"/>
      <c r="H43" s="623">
        <v>11.63</v>
      </c>
      <c r="I43" s="624"/>
      <c r="J43" s="623">
        <v>535.01</v>
      </c>
      <c r="K43" s="624"/>
      <c r="L43" s="623">
        <f t="shared" si="7"/>
        <v>546.64</v>
      </c>
      <c r="M43" s="624"/>
      <c r="N43" s="623">
        <v>40.68</v>
      </c>
      <c r="O43" s="624"/>
      <c r="P43" s="623">
        <v>8.73</v>
      </c>
      <c r="Q43" s="624"/>
      <c r="R43" s="623">
        <v>0</v>
      </c>
      <c r="S43" s="624"/>
      <c r="T43" s="623">
        <f t="shared" si="8"/>
        <v>8.73</v>
      </c>
      <c r="U43" s="624"/>
      <c r="V43" s="623">
        <v>34.880000000000003</v>
      </c>
      <c r="W43" s="624"/>
      <c r="X43" s="623">
        <v>5.82</v>
      </c>
      <c r="Y43" s="624"/>
      <c r="Z43" s="623">
        <v>0</v>
      </c>
      <c r="AA43" s="624"/>
      <c r="AB43" s="623">
        <v>101.72</v>
      </c>
      <c r="AC43" s="624"/>
      <c r="AD43" s="623">
        <f t="shared" si="9"/>
        <v>101.72</v>
      </c>
      <c r="AE43" s="624"/>
      <c r="AF43" s="623">
        <v>0</v>
      </c>
      <c r="AG43" s="624"/>
      <c r="AH43" s="623">
        <v>101.65</v>
      </c>
      <c r="AI43" s="624"/>
      <c r="AJ43" s="623">
        <v>104.63</v>
      </c>
      <c r="AK43" s="624"/>
      <c r="AL43" s="623">
        <f t="shared" si="10"/>
        <v>206.28</v>
      </c>
      <c r="AM43" s="624"/>
      <c r="AN43" s="623">
        <f t="shared" si="11"/>
        <v>357.43</v>
      </c>
      <c r="AO43" s="624"/>
      <c r="AP43" s="623">
        <v>0</v>
      </c>
      <c r="AQ43" s="624"/>
      <c r="AR43" s="623">
        <v>0</v>
      </c>
      <c r="AS43" s="624"/>
      <c r="AT43" s="623">
        <v>0</v>
      </c>
      <c r="AU43" s="624"/>
      <c r="AV43" s="623">
        <f t="shared" si="12"/>
        <v>0</v>
      </c>
      <c r="AW43" s="624"/>
      <c r="AX43" s="623">
        <v>0</v>
      </c>
      <c r="AY43" s="624"/>
      <c r="AZ43" s="623">
        <f t="shared" si="13"/>
        <v>944.75</v>
      </c>
    </row>
    <row r="44" spans="1:52" s="86" customFormat="1" x14ac:dyDescent="0.25">
      <c r="A44" s="622"/>
      <c r="B44" s="622"/>
      <c r="C44" s="622"/>
      <c r="D44" s="622"/>
      <c r="E44" s="622" t="s">
        <v>155</v>
      </c>
      <c r="F44" s="622"/>
      <c r="G44" s="622"/>
      <c r="H44" s="623">
        <v>0</v>
      </c>
      <c r="I44" s="624"/>
      <c r="J44" s="623">
        <v>4752</v>
      </c>
      <c r="K44" s="624"/>
      <c r="L44" s="623">
        <f t="shared" si="7"/>
        <v>4752</v>
      </c>
      <c r="M44" s="624"/>
      <c r="N44" s="623">
        <v>0</v>
      </c>
      <c r="O44" s="624"/>
      <c r="P44" s="623">
        <v>0</v>
      </c>
      <c r="Q44" s="624"/>
      <c r="R44" s="623">
        <v>0</v>
      </c>
      <c r="S44" s="624"/>
      <c r="T44" s="623">
        <f t="shared" si="8"/>
        <v>0</v>
      </c>
      <c r="U44" s="624"/>
      <c r="V44" s="623">
        <v>0</v>
      </c>
      <c r="W44" s="624"/>
      <c r="X44" s="623">
        <v>0</v>
      </c>
      <c r="Y44" s="624"/>
      <c r="Z44" s="623">
        <v>0</v>
      </c>
      <c r="AA44" s="624"/>
      <c r="AB44" s="623">
        <v>0</v>
      </c>
      <c r="AC44" s="624"/>
      <c r="AD44" s="623">
        <f t="shared" si="9"/>
        <v>0</v>
      </c>
      <c r="AE44" s="624"/>
      <c r="AF44" s="623">
        <v>0</v>
      </c>
      <c r="AG44" s="624"/>
      <c r="AH44" s="623">
        <v>0</v>
      </c>
      <c r="AI44" s="624"/>
      <c r="AJ44" s="623">
        <v>0</v>
      </c>
      <c r="AK44" s="624"/>
      <c r="AL44" s="623">
        <f t="shared" si="10"/>
        <v>0</v>
      </c>
      <c r="AM44" s="624"/>
      <c r="AN44" s="623">
        <f t="shared" si="11"/>
        <v>0</v>
      </c>
      <c r="AO44" s="624"/>
      <c r="AP44" s="623">
        <v>0</v>
      </c>
      <c r="AQ44" s="624"/>
      <c r="AR44" s="623">
        <v>0</v>
      </c>
      <c r="AS44" s="624"/>
      <c r="AT44" s="623">
        <v>0</v>
      </c>
      <c r="AU44" s="624"/>
      <c r="AV44" s="623">
        <f t="shared" si="12"/>
        <v>0</v>
      </c>
      <c r="AW44" s="624"/>
      <c r="AX44" s="623">
        <v>0</v>
      </c>
      <c r="AY44" s="624"/>
      <c r="AZ44" s="623">
        <f t="shared" si="13"/>
        <v>4752</v>
      </c>
    </row>
    <row r="45" spans="1:52" s="86" customFormat="1" x14ac:dyDescent="0.25">
      <c r="A45" s="622"/>
      <c r="B45" s="622"/>
      <c r="C45" s="622"/>
      <c r="D45" s="622"/>
      <c r="E45" s="622" t="s">
        <v>156</v>
      </c>
      <c r="F45" s="622"/>
      <c r="G45" s="622"/>
      <c r="H45" s="623">
        <v>26.07</v>
      </c>
      <c r="I45" s="624"/>
      <c r="J45" s="623">
        <v>75.88</v>
      </c>
      <c r="K45" s="624"/>
      <c r="L45" s="623">
        <f t="shared" si="7"/>
        <v>101.95</v>
      </c>
      <c r="M45" s="624"/>
      <c r="N45" s="623">
        <v>1650.09</v>
      </c>
      <c r="O45" s="624"/>
      <c r="P45" s="623">
        <v>17.8</v>
      </c>
      <c r="Q45" s="624"/>
      <c r="R45" s="623">
        <v>0</v>
      </c>
      <c r="S45" s="624"/>
      <c r="T45" s="623">
        <f t="shared" si="8"/>
        <v>17.8</v>
      </c>
      <c r="U45" s="624"/>
      <c r="V45" s="623">
        <v>75.86</v>
      </c>
      <c r="W45" s="624"/>
      <c r="X45" s="623">
        <v>11.86</v>
      </c>
      <c r="Y45" s="624"/>
      <c r="Z45" s="623">
        <v>0</v>
      </c>
      <c r="AA45" s="624"/>
      <c r="AB45" s="623">
        <v>228.62</v>
      </c>
      <c r="AC45" s="624"/>
      <c r="AD45" s="623">
        <f t="shared" si="9"/>
        <v>228.62</v>
      </c>
      <c r="AE45" s="624"/>
      <c r="AF45" s="623">
        <v>300</v>
      </c>
      <c r="AG45" s="624"/>
      <c r="AH45" s="623">
        <v>207.73</v>
      </c>
      <c r="AI45" s="624"/>
      <c r="AJ45" s="623">
        <v>1974.51</v>
      </c>
      <c r="AK45" s="624"/>
      <c r="AL45" s="623">
        <f t="shared" si="10"/>
        <v>2482.2399999999998</v>
      </c>
      <c r="AM45" s="624"/>
      <c r="AN45" s="623">
        <f t="shared" si="11"/>
        <v>2816.38</v>
      </c>
      <c r="AO45" s="624"/>
      <c r="AP45" s="623">
        <v>0</v>
      </c>
      <c r="AQ45" s="624"/>
      <c r="AR45" s="623">
        <v>0</v>
      </c>
      <c r="AS45" s="624"/>
      <c r="AT45" s="623">
        <v>0</v>
      </c>
      <c r="AU45" s="624"/>
      <c r="AV45" s="623">
        <f t="shared" si="12"/>
        <v>0</v>
      </c>
      <c r="AW45" s="624"/>
      <c r="AX45" s="623">
        <v>0</v>
      </c>
      <c r="AY45" s="624"/>
      <c r="AZ45" s="623">
        <f t="shared" si="13"/>
        <v>4568.42</v>
      </c>
    </row>
    <row r="46" spans="1:52" s="86" customFormat="1" x14ac:dyDescent="0.25">
      <c r="A46" s="622"/>
      <c r="B46" s="622"/>
      <c r="C46" s="622"/>
      <c r="D46" s="622"/>
      <c r="E46" s="622" t="s">
        <v>157</v>
      </c>
      <c r="F46" s="622"/>
      <c r="G46" s="622"/>
      <c r="H46" s="623">
        <v>3.72</v>
      </c>
      <c r="I46" s="624"/>
      <c r="J46" s="623">
        <v>86.16</v>
      </c>
      <c r="K46" s="624"/>
      <c r="L46" s="623">
        <f t="shared" si="7"/>
        <v>89.88</v>
      </c>
      <c r="M46" s="624"/>
      <c r="N46" s="623">
        <v>13.02</v>
      </c>
      <c r="O46" s="624"/>
      <c r="P46" s="623">
        <v>2.79</v>
      </c>
      <c r="Q46" s="624"/>
      <c r="R46" s="623">
        <v>0</v>
      </c>
      <c r="S46" s="624"/>
      <c r="T46" s="623">
        <f t="shared" si="8"/>
        <v>2.79</v>
      </c>
      <c r="U46" s="624"/>
      <c r="V46" s="623">
        <v>11.16</v>
      </c>
      <c r="W46" s="624"/>
      <c r="X46" s="623">
        <v>1.86</v>
      </c>
      <c r="Y46" s="624"/>
      <c r="Z46" s="623">
        <v>0</v>
      </c>
      <c r="AA46" s="624"/>
      <c r="AB46" s="623">
        <v>2532.56</v>
      </c>
      <c r="AC46" s="624"/>
      <c r="AD46" s="623">
        <f t="shared" si="9"/>
        <v>2532.56</v>
      </c>
      <c r="AE46" s="624"/>
      <c r="AF46" s="623">
        <v>0</v>
      </c>
      <c r="AG46" s="624"/>
      <c r="AH46" s="623">
        <v>32.57</v>
      </c>
      <c r="AI46" s="624"/>
      <c r="AJ46" s="623">
        <v>33.49</v>
      </c>
      <c r="AK46" s="624"/>
      <c r="AL46" s="623">
        <f t="shared" si="10"/>
        <v>66.06</v>
      </c>
      <c r="AM46" s="624"/>
      <c r="AN46" s="623">
        <f t="shared" si="11"/>
        <v>2614.4299999999998</v>
      </c>
      <c r="AO46" s="624"/>
      <c r="AP46" s="623">
        <v>0</v>
      </c>
      <c r="AQ46" s="624"/>
      <c r="AR46" s="623">
        <v>0</v>
      </c>
      <c r="AS46" s="624"/>
      <c r="AT46" s="623">
        <v>0</v>
      </c>
      <c r="AU46" s="624"/>
      <c r="AV46" s="623">
        <f t="shared" si="12"/>
        <v>0</v>
      </c>
      <c r="AW46" s="624"/>
      <c r="AX46" s="623">
        <v>0</v>
      </c>
      <c r="AY46" s="624"/>
      <c r="AZ46" s="623">
        <f t="shared" si="13"/>
        <v>2717.33</v>
      </c>
    </row>
    <row r="47" spans="1:52" s="86" customFormat="1" x14ac:dyDescent="0.25">
      <c r="A47" s="622"/>
      <c r="B47" s="622"/>
      <c r="C47" s="622"/>
      <c r="D47" s="622"/>
      <c r="E47" s="622" t="s">
        <v>158</v>
      </c>
      <c r="F47" s="622"/>
      <c r="G47" s="622"/>
      <c r="H47" s="623">
        <v>0</v>
      </c>
      <c r="I47" s="624"/>
      <c r="J47" s="623">
        <v>0</v>
      </c>
      <c r="K47" s="624"/>
      <c r="L47" s="623">
        <f t="shared" si="7"/>
        <v>0</v>
      </c>
      <c r="M47" s="624"/>
      <c r="N47" s="623">
        <v>0</v>
      </c>
      <c r="O47" s="624"/>
      <c r="P47" s="623">
        <v>0</v>
      </c>
      <c r="Q47" s="624"/>
      <c r="R47" s="623">
        <v>0</v>
      </c>
      <c r="S47" s="624"/>
      <c r="T47" s="623">
        <f t="shared" si="8"/>
        <v>0</v>
      </c>
      <c r="U47" s="624"/>
      <c r="V47" s="623">
        <v>0</v>
      </c>
      <c r="W47" s="624"/>
      <c r="X47" s="623">
        <v>0</v>
      </c>
      <c r="Y47" s="624"/>
      <c r="Z47" s="623">
        <v>0</v>
      </c>
      <c r="AA47" s="624"/>
      <c r="AB47" s="623">
        <v>2672.23</v>
      </c>
      <c r="AC47" s="624"/>
      <c r="AD47" s="623">
        <f t="shared" si="9"/>
        <v>2672.23</v>
      </c>
      <c r="AE47" s="624"/>
      <c r="AF47" s="623">
        <v>0</v>
      </c>
      <c r="AG47" s="624"/>
      <c r="AH47" s="623">
        <v>0</v>
      </c>
      <c r="AI47" s="624"/>
      <c r="AJ47" s="623">
        <v>0</v>
      </c>
      <c r="AK47" s="624"/>
      <c r="AL47" s="623">
        <f t="shared" si="10"/>
        <v>0</v>
      </c>
      <c r="AM47" s="624"/>
      <c r="AN47" s="623">
        <f t="shared" si="11"/>
        <v>2672.23</v>
      </c>
      <c r="AO47" s="624"/>
      <c r="AP47" s="623">
        <v>0</v>
      </c>
      <c r="AQ47" s="624"/>
      <c r="AR47" s="623">
        <v>0</v>
      </c>
      <c r="AS47" s="624"/>
      <c r="AT47" s="623">
        <v>0</v>
      </c>
      <c r="AU47" s="624"/>
      <c r="AV47" s="623">
        <f t="shared" si="12"/>
        <v>0</v>
      </c>
      <c r="AW47" s="624"/>
      <c r="AX47" s="623">
        <v>0</v>
      </c>
      <c r="AY47" s="624"/>
      <c r="AZ47" s="623">
        <f t="shared" si="13"/>
        <v>2672.23</v>
      </c>
    </row>
    <row r="48" spans="1:52" s="86" customFormat="1" ht="15.75" thickBot="1" x14ac:dyDescent="0.3">
      <c r="A48" s="622"/>
      <c r="B48" s="622"/>
      <c r="C48" s="622"/>
      <c r="D48" s="622"/>
      <c r="E48" s="622" t="s">
        <v>435</v>
      </c>
      <c r="F48" s="622"/>
      <c r="G48" s="622"/>
      <c r="H48" s="625">
        <v>0</v>
      </c>
      <c r="I48" s="624"/>
      <c r="J48" s="625">
        <v>0</v>
      </c>
      <c r="K48" s="624"/>
      <c r="L48" s="625">
        <f t="shared" si="7"/>
        <v>0</v>
      </c>
      <c r="M48" s="624"/>
      <c r="N48" s="625">
        <v>0</v>
      </c>
      <c r="O48" s="624"/>
      <c r="P48" s="625">
        <v>0</v>
      </c>
      <c r="Q48" s="624"/>
      <c r="R48" s="625">
        <v>0</v>
      </c>
      <c r="S48" s="624"/>
      <c r="T48" s="625">
        <f t="shared" si="8"/>
        <v>0</v>
      </c>
      <c r="U48" s="624"/>
      <c r="V48" s="625">
        <v>0</v>
      </c>
      <c r="W48" s="624"/>
      <c r="X48" s="625">
        <v>0</v>
      </c>
      <c r="Y48" s="624"/>
      <c r="Z48" s="625">
        <v>0</v>
      </c>
      <c r="AA48" s="624"/>
      <c r="AB48" s="625">
        <v>724.38</v>
      </c>
      <c r="AC48" s="624"/>
      <c r="AD48" s="625">
        <f t="shared" si="9"/>
        <v>724.38</v>
      </c>
      <c r="AE48" s="624"/>
      <c r="AF48" s="625">
        <v>0</v>
      </c>
      <c r="AG48" s="624"/>
      <c r="AH48" s="625">
        <v>0</v>
      </c>
      <c r="AI48" s="624"/>
      <c r="AJ48" s="625">
        <v>0</v>
      </c>
      <c r="AK48" s="624"/>
      <c r="AL48" s="625">
        <f t="shared" si="10"/>
        <v>0</v>
      </c>
      <c r="AM48" s="624"/>
      <c r="AN48" s="625">
        <f t="shared" si="11"/>
        <v>724.38</v>
      </c>
      <c r="AO48" s="624"/>
      <c r="AP48" s="625">
        <v>0</v>
      </c>
      <c r="AQ48" s="624"/>
      <c r="AR48" s="625">
        <v>0</v>
      </c>
      <c r="AS48" s="624"/>
      <c r="AT48" s="625">
        <v>0</v>
      </c>
      <c r="AU48" s="624"/>
      <c r="AV48" s="625">
        <f t="shared" si="12"/>
        <v>0</v>
      </c>
      <c r="AW48" s="624"/>
      <c r="AX48" s="625">
        <v>0</v>
      </c>
      <c r="AY48" s="624"/>
      <c r="AZ48" s="625">
        <f t="shared" si="13"/>
        <v>724.38</v>
      </c>
    </row>
    <row r="49" spans="1:52" ht="15.75" thickBot="1" x14ac:dyDescent="0.3">
      <c r="A49" s="369"/>
      <c r="B49" s="369"/>
      <c r="C49" s="369"/>
      <c r="D49" s="369" t="s">
        <v>56</v>
      </c>
      <c r="E49" s="369"/>
      <c r="F49" s="369"/>
      <c r="G49" s="369"/>
      <c r="H49" s="277">
        <f>ROUND(SUM(H33:H48),5)</f>
        <v>2797.38</v>
      </c>
      <c r="I49" s="274"/>
      <c r="J49" s="277">
        <f>ROUND(SUM(J33:J48),5)</f>
        <v>12716.62</v>
      </c>
      <c r="K49" s="274"/>
      <c r="L49" s="277">
        <f t="shared" si="7"/>
        <v>15514</v>
      </c>
      <c r="M49" s="274"/>
      <c r="N49" s="277">
        <f>ROUND(SUM(N33:N48),5)</f>
        <v>14475.69</v>
      </c>
      <c r="O49" s="274"/>
      <c r="P49" s="277">
        <f>ROUND(SUM(P33:P48),5)</f>
        <v>1323.31</v>
      </c>
      <c r="Q49" s="274"/>
      <c r="R49" s="277">
        <f>ROUND(SUM(R33:R48),5)</f>
        <v>0</v>
      </c>
      <c r="S49" s="274"/>
      <c r="T49" s="277">
        <f t="shared" si="8"/>
        <v>1323.31</v>
      </c>
      <c r="U49" s="274"/>
      <c r="V49" s="277">
        <f>ROUND(SUM(V33:V48),5)</f>
        <v>6624.6</v>
      </c>
      <c r="W49" s="274"/>
      <c r="X49" s="277">
        <f>ROUND(SUM(X33:X48),5)</f>
        <v>558.04999999999995</v>
      </c>
      <c r="Y49" s="274"/>
      <c r="Z49" s="277">
        <f>ROUND(SUM(Z33:Z48),5)</f>
        <v>0</v>
      </c>
      <c r="AA49" s="274"/>
      <c r="AB49" s="277">
        <f>ROUND(SUM(AB33:AB48),5)</f>
        <v>18743.09</v>
      </c>
      <c r="AC49" s="274"/>
      <c r="AD49" s="277">
        <f t="shared" si="9"/>
        <v>18743.09</v>
      </c>
      <c r="AE49" s="274"/>
      <c r="AF49" s="277">
        <f>ROUND(SUM(AF33:AF48),5)</f>
        <v>4904.1000000000004</v>
      </c>
      <c r="AG49" s="274"/>
      <c r="AH49" s="277">
        <f>ROUND(SUM(AH33:AH48),5)</f>
        <v>11807.36</v>
      </c>
      <c r="AI49" s="274"/>
      <c r="AJ49" s="277">
        <f>ROUND(SUM(AJ33:AJ48),5)</f>
        <v>33050.6</v>
      </c>
      <c r="AK49" s="274"/>
      <c r="AL49" s="277">
        <f t="shared" si="10"/>
        <v>49762.06</v>
      </c>
      <c r="AM49" s="274"/>
      <c r="AN49" s="277">
        <f t="shared" si="11"/>
        <v>77011.11</v>
      </c>
      <c r="AO49" s="274"/>
      <c r="AP49" s="277">
        <f>ROUND(SUM(AP33:AP48),5)</f>
        <v>0</v>
      </c>
      <c r="AQ49" s="274"/>
      <c r="AR49" s="277">
        <f>ROUND(SUM(AR33:AR48),5)</f>
        <v>0</v>
      </c>
      <c r="AS49" s="274"/>
      <c r="AT49" s="277">
        <f>ROUND(SUM(AT33:AT48),5)</f>
        <v>0</v>
      </c>
      <c r="AU49" s="274"/>
      <c r="AV49" s="277">
        <f t="shared" si="12"/>
        <v>0</v>
      </c>
      <c r="AW49" s="274"/>
      <c r="AX49" s="277">
        <f>ROUND(SUM(AX33:AX48),5)</f>
        <v>0</v>
      </c>
      <c r="AY49" s="274"/>
      <c r="AZ49" s="277">
        <f t="shared" si="13"/>
        <v>107000.8</v>
      </c>
    </row>
    <row r="50" spans="1:52" ht="15.75" thickBot="1" x14ac:dyDescent="0.3">
      <c r="A50" s="369"/>
      <c r="B50" s="369" t="s">
        <v>159</v>
      </c>
      <c r="C50" s="369"/>
      <c r="D50" s="369"/>
      <c r="E50" s="369"/>
      <c r="F50" s="369"/>
      <c r="G50" s="369"/>
      <c r="H50" s="277">
        <f>ROUND(H3+H32-H49,5)</f>
        <v>-2797.38</v>
      </c>
      <c r="I50" s="274"/>
      <c r="J50" s="277">
        <f>ROUND(J3+J32-J49,5)</f>
        <v>98802.14</v>
      </c>
      <c r="K50" s="274"/>
      <c r="L50" s="277">
        <f t="shared" si="7"/>
        <v>96004.76</v>
      </c>
      <c r="M50" s="274"/>
      <c r="N50" s="277">
        <f>ROUND(N3+N32-N49,5)</f>
        <v>25546.75</v>
      </c>
      <c r="O50" s="274"/>
      <c r="P50" s="277">
        <f>ROUND(P3+P32-P49,5)</f>
        <v>-1323.31</v>
      </c>
      <c r="Q50" s="274"/>
      <c r="R50" s="277">
        <f>ROUND(R3+R32-R49,5)</f>
        <v>0</v>
      </c>
      <c r="S50" s="274"/>
      <c r="T50" s="277">
        <f t="shared" si="8"/>
        <v>-1323.31</v>
      </c>
      <c r="U50" s="274"/>
      <c r="V50" s="277">
        <f>ROUND(V3+V32-V49,5)</f>
        <v>-6624.6</v>
      </c>
      <c r="W50" s="274"/>
      <c r="X50" s="277">
        <f>ROUND(X3+X32-X49,5)</f>
        <v>-558.04999999999995</v>
      </c>
      <c r="Y50" s="274"/>
      <c r="Z50" s="277">
        <f>ROUND(Z3+Z32-Z49,5)</f>
        <v>2704.76</v>
      </c>
      <c r="AA50" s="274"/>
      <c r="AB50" s="277">
        <f>ROUND(AB3+AB32-AB49,5)</f>
        <v>22321.64</v>
      </c>
      <c r="AC50" s="274"/>
      <c r="AD50" s="277">
        <f t="shared" si="9"/>
        <v>25026.400000000001</v>
      </c>
      <c r="AE50" s="274"/>
      <c r="AF50" s="277">
        <f>ROUND(AF3+AF32-AF49,5)</f>
        <v>-3804.1</v>
      </c>
      <c r="AG50" s="274"/>
      <c r="AH50" s="277">
        <f>ROUND(AH3+AH32-AH49,5)</f>
        <v>-8712.36</v>
      </c>
      <c r="AI50" s="274"/>
      <c r="AJ50" s="277">
        <f>ROUND(AJ3+AJ32-AJ49,5)</f>
        <v>-33050.6</v>
      </c>
      <c r="AK50" s="274"/>
      <c r="AL50" s="277">
        <f t="shared" si="10"/>
        <v>-45567.06</v>
      </c>
      <c r="AM50" s="274"/>
      <c r="AN50" s="277">
        <f t="shared" si="11"/>
        <v>-29046.62</v>
      </c>
      <c r="AO50" s="274"/>
      <c r="AP50" s="277">
        <f>ROUND(AP3+AP32-AP49,5)</f>
        <v>0</v>
      </c>
      <c r="AQ50" s="274"/>
      <c r="AR50" s="277">
        <f>ROUND(AR3+AR32-AR49,5)</f>
        <v>0</v>
      </c>
      <c r="AS50" s="274"/>
      <c r="AT50" s="277">
        <f>ROUND(AT3+AT32-AT49,5)</f>
        <v>0</v>
      </c>
      <c r="AU50" s="274"/>
      <c r="AV50" s="277">
        <f t="shared" si="12"/>
        <v>0</v>
      </c>
      <c r="AW50" s="274"/>
      <c r="AX50" s="277">
        <f>ROUND(AX3+AX32-AX49,5)</f>
        <v>0</v>
      </c>
      <c r="AY50" s="274"/>
      <c r="AZ50" s="277">
        <f t="shared" si="13"/>
        <v>92504.89</v>
      </c>
    </row>
    <row r="51" spans="1:52" s="279" customFormat="1" ht="12" thickBot="1" x14ac:dyDescent="0.25">
      <c r="A51" s="369" t="s">
        <v>160</v>
      </c>
      <c r="B51" s="369"/>
      <c r="C51" s="369"/>
      <c r="D51" s="369"/>
      <c r="E51" s="369"/>
      <c r="F51" s="369"/>
      <c r="G51" s="369"/>
      <c r="H51" s="278">
        <f>H50</f>
        <v>-2797.38</v>
      </c>
      <c r="I51" s="369"/>
      <c r="J51" s="278">
        <f>J50</f>
        <v>98802.14</v>
      </c>
      <c r="K51" s="369"/>
      <c r="L51" s="278">
        <f t="shared" si="7"/>
        <v>96004.76</v>
      </c>
      <c r="M51" s="369"/>
      <c r="N51" s="278">
        <f>N50</f>
        <v>25546.75</v>
      </c>
      <c r="O51" s="369"/>
      <c r="P51" s="278">
        <f>P50</f>
        <v>-1323.31</v>
      </c>
      <c r="Q51" s="369"/>
      <c r="R51" s="278">
        <f>R50</f>
        <v>0</v>
      </c>
      <c r="S51" s="369"/>
      <c r="T51" s="278">
        <f t="shared" si="8"/>
        <v>-1323.31</v>
      </c>
      <c r="U51" s="369"/>
      <c r="V51" s="278">
        <f>V50</f>
        <v>-6624.6</v>
      </c>
      <c r="W51" s="369"/>
      <c r="X51" s="278">
        <f>X50</f>
        <v>-558.04999999999995</v>
      </c>
      <c r="Y51" s="369"/>
      <c r="Z51" s="278">
        <f>Z50</f>
        <v>2704.76</v>
      </c>
      <c r="AA51" s="369"/>
      <c r="AB51" s="278">
        <f>AB50</f>
        <v>22321.64</v>
      </c>
      <c r="AC51" s="369"/>
      <c r="AD51" s="278">
        <f t="shared" si="9"/>
        <v>25026.400000000001</v>
      </c>
      <c r="AE51" s="369"/>
      <c r="AF51" s="278">
        <f>AF50</f>
        <v>-3804.1</v>
      </c>
      <c r="AG51" s="369"/>
      <c r="AH51" s="278">
        <f>AH50</f>
        <v>-8712.36</v>
      </c>
      <c r="AI51" s="369"/>
      <c r="AJ51" s="278">
        <f>AJ50</f>
        <v>-33050.6</v>
      </c>
      <c r="AK51" s="369"/>
      <c r="AL51" s="278">
        <f t="shared" si="10"/>
        <v>-45567.06</v>
      </c>
      <c r="AM51" s="369"/>
      <c r="AN51" s="278">
        <f t="shared" si="11"/>
        <v>-29046.62</v>
      </c>
      <c r="AO51" s="369"/>
      <c r="AP51" s="278">
        <f>AP50</f>
        <v>0</v>
      </c>
      <c r="AQ51" s="369"/>
      <c r="AR51" s="278">
        <f>AR50</f>
        <v>0</v>
      </c>
      <c r="AS51" s="369"/>
      <c r="AT51" s="278">
        <f>AT50</f>
        <v>0</v>
      </c>
      <c r="AU51" s="369"/>
      <c r="AV51" s="278">
        <f t="shared" si="12"/>
        <v>0</v>
      </c>
      <c r="AW51" s="369"/>
      <c r="AX51" s="278">
        <f>AX50</f>
        <v>0</v>
      </c>
      <c r="AY51" s="369"/>
      <c r="AZ51" s="278">
        <f t="shared" si="13"/>
        <v>92504.89</v>
      </c>
    </row>
    <row r="52" spans="1:52" ht="15.75" thickTop="1" x14ac:dyDescent="0.25"/>
  </sheetData>
  <pageMargins left="0.2" right="0.2" top="0.75" bottom="0.5" header="0.1" footer="0.3"/>
  <pageSetup scale="90" orientation="portrait" r:id="rId1"/>
  <headerFooter>
    <oddHeader>&amp;L&amp;"Arial,Bold"&amp;8 4:15 PM
 10/01/18
 Accrual Basis&amp;C&amp;"Arial,Bold"&amp;12 League of Women Voters of California
&amp;14 Statement of Activities Budget vs. Actual
&amp;10 July through August 2018</oddHeader>
    <oddFooter>&amp;R&amp;"Arial,Bold"&amp;8 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6"/>
  <sheetViews>
    <sheetView topLeftCell="A22" workbookViewId="0">
      <selection activeCell="E46" sqref="E46"/>
    </sheetView>
  </sheetViews>
  <sheetFormatPr defaultRowHeight="15" x14ac:dyDescent="0.25"/>
  <cols>
    <col min="1" max="4" width="3" style="361" customWidth="1"/>
    <col min="5" max="5" width="33" style="361" customWidth="1"/>
    <col min="6" max="6" width="9.85546875" style="362" bestFit="1" customWidth="1"/>
    <col min="7" max="7" width="2.28515625" style="362" customWidth="1"/>
    <col min="8" max="8" width="9.140625" style="640" bestFit="1" customWidth="1"/>
    <col min="9" max="9" width="2.28515625" style="362" customWidth="1"/>
    <col min="10" max="10" width="9.85546875" style="362" bestFit="1" customWidth="1"/>
    <col min="11" max="11" width="2.28515625" style="362" customWidth="1"/>
    <col min="12" max="12" width="10.5703125" style="640" customWidth="1"/>
    <col min="13" max="13" width="2.28515625" style="362" customWidth="1"/>
    <col min="14" max="14" width="9.85546875" style="362" hidden="1" customWidth="1"/>
    <col min="15" max="15" width="2.28515625" style="362" hidden="1" customWidth="1"/>
    <col min="16" max="16" width="8.7109375" style="362" hidden="1" customWidth="1"/>
    <col min="17" max="17" width="2.28515625" style="362" customWidth="1"/>
    <col min="18" max="18" width="9.85546875" style="362" bestFit="1" customWidth="1"/>
    <col min="19" max="19" width="2.28515625" style="362" customWidth="1"/>
    <col min="20" max="20" width="11.5703125" style="640" customWidth="1"/>
    <col min="21" max="21" width="2.28515625" style="362" customWidth="1"/>
    <col min="22" max="22" width="9.85546875" style="362" hidden="1" customWidth="1"/>
    <col min="23" max="23" width="2.28515625" style="362" hidden="1" customWidth="1"/>
    <col min="24" max="24" width="7.5703125" style="362" hidden="1" customWidth="1"/>
    <col min="25" max="25" width="2.28515625" style="362" hidden="1" customWidth="1"/>
    <col min="26" max="26" width="9.85546875" style="362" hidden="1" customWidth="1"/>
    <col min="27" max="27" width="2.28515625" style="362" hidden="1" customWidth="1"/>
    <col min="28" max="28" width="6.5703125" style="362" hidden="1" customWidth="1"/>
    <col min="29" max="29" width="2.28515625" style="362" hidden="1" customWidth="1"/>
    <col min="30" max="30" width="9.85546875" style="362" hidden="1" customWidth="1"/>
    <col min="31" max="31" width="2.28515625" style="362" hidden="1" customWidth="1"/>
    <col min="32" max="32" width="6.5703125" style="362" hidden="1" customWidth="1"/>
    <col min="33" max="33" width="2.28515625" style="362" customWidth="1"/>
    <col min="34" max="34" width="9.85546875" style="362" bestFit="1" customWidth="1"/>
    <col min="35" max="35" width="2.28515625" style="362" customWidth="1"/>
    <col min="36" max="36" width="7.5703125" style="641" bestFit="1" customWidth="1"/>
    <col min="37" max="37" width="2.28515625" style="362" customWidth="1"/>
    <col min="38" max="38" width="9.85546875" style="362" bestFit="1" customWidth="1"/>
    <col min="39" max="39" width="2.28515625" style="362" customWidth="1"/>
    <col min="40" max="40" width="10.42578125" style="640" customWidth="1"/>
    <col min="41" max="41" width="2.28515625" style="362" customWidth="1"/>
    <col min="42" max="42" width="9.85546875" style="362" bestFit="1" customWidth="1"/>
    <col min="43" max="43" width="2.28515625" style="362" customWidth="1"/>
    <col min="44" max="44" width="7.5703125" style="641" bestFit="1" customWidth="1"/>
    <col min="45" max="45" width="2.28515625" style="362" customWidth="1"/>
    <col min="46" max="46" width="9.85546875" style="362" hidden="1" customWidth="1"/>
    <col min="47" max="47" width="2.28515625" style="362" hidden="1" customWidth="1"/>
    <col min="48" max="48" width="6.5703125" style="362" hidden="1" customWidth="1"/>
    <col min="49" max="49" width="2.28515625" style="362" hidden="1" customWidth="1"/>
    <col min="50" max="50" width="9.85546875" style="362" hidden="1" customWidth="1"/>
    <col min="51" max="51" width="2.28515625" style="362" hidden="1" customWidth="1"/>
    <col min="52" max="52" width="8.7109375" style="362" hidden="1" customWidth="1"/>
    <col min="53" max="53" width="2.28515625" style="362" hidden="1" customWidth="1"/>
    <col min="54" max="54" width="9.85546875" style="362" hidden="1" customWidth="1"/>
    <col min="55" max="55" width="2.28515625" style="362" hidden="1" customWidth="1"/>
    <col min="56" max="56" width="6.5703125" style="362" hidden="1" customWidth="1"/>
    <col min="57" max="57" width="2.28515625" style="362" hidden="1" customWidth="1"/>
    <col min="58" max="58" width="9.85546875" style="362" hidden="1" customWidth="1"/>
    <col min="59" max="59" width="2.28515625" style="362" customWidth="1"/>
    <col min="60" max="60" width="10.7109375" style="640" customWidth="1"/>
    <col min="61" max="61" width="2.28515625" style="362" customWidth="1"/>
    <col min="62" max="62" width="9.85546875" style="362" hidden="1" customWidth="1"/>
    <col min="63" max="63" width="2.28515625" style="362" hidden="1" customWidth="1"/>
    <col min="64" max="64" width="7.5703125" style="362" hidden="1" customWidth="1"/>
    <col min="65" max="65" width="2.28515625" style="362" hidden="1" customWidth="1"/>
    <col min="66" max="66" width="9.85546875" style="362" hidden="1" customWidth="1"/>
    <col min="67" max="67" width="2.28515625" style="362" hidden="1" customWidth="1"/>
    <col min="68" max="68" width="8.42578125" style="362" hidden="1" customWidth="1"/>
    <col min="69" max="69" width="2.28515625" style="362" hidden="1" customWidth="1"/>
    <col min="70" max="70" width="9.85546875" style="362" hidden="1" customWidth="1"/>
    <col min="71" max="71" width="2.28515625" style="362" hidden="1" customWidth="1"/>
    <col min="72" max="72" width="9.28515625" style="362" hidden="1" customWidth="1"/>
    <col min="73" max="73" width="2.28515625" style="362" hidden="1" customWidth="1"/>
    <col min="74" max="74" width="9.85546875" style="362" hidden="1" customWidth="1"/>
    <col min="75" max="75" width="2.28515625" style="362" customWidth="1"/>
    <col min="76" max="76" width="10.85546875" style="640" customWidth="1"/>
    <col min="77" max="77" width="2.28515625" style="362" customWidth="1"/>
    <col min="78" max="78" width="9.85546875" style="362" bestFit="1" customWidth="1"/>
    <col min="79" max="79" width="2.28515625" style="362" customWidth="1"/>
    <col min="80" max="80" width="9.28515625" style="362" bestFit="1" customWidth="1"/>
    <col min="81" max="81" width="2.28515625" style="362" customWidth="1"/>
    <col min="82" max="82" width="9.85546875" style="362" hidden="1" customWidth="1"/>
    <col min="83" max="83" width="2.28515625" style="362" hidden="1" customWidth="1"/>
    <col min="84" max="84" width="6.5703125" style="362" hidden="1" customWidth="1"/>
    <col min="85" max="85" width="2.28515625" style="362" hidden="1" customWidth="1"/>
    <col min="86" max="86" width="9.85546875" style="362" hidden="1" customWidth="1"/>
    <col min="87" max="87" width="2.28515625" style="362" hidden="1" customWidth="1"/>
    <col min="88" max="88" width="6.5703125" style="362" hidden="1" customWidth="1"/>
    <col min="89" max="89" width="2.28515625" style="362" hidden="1" customWidth="1"/>
    <col min="90" max="90" width="9.85546875" style="362" hidden="1" customWidth="1"/>
    <col min="91" max="91" width="2.28515625" style="362" hidden="1" customWidth="1"/>
    <col min="92" max="92" width="6.5703125" style="362" hidden="1" customWidth="1"/>
    <col min="93" max="93" width="2.28515625" style="362" hidden="1" customWidth="1"/>
    <col min="94" max="94" width="9.85546875" style="362" hidden="1" customWidth="1"/>
    <col min="95" max="95" width="2.28515625" style="362" hidden="1" customWidth="1"/>
    <col min="96" max="96" width="6.5703125" style="362" hidden="1" customWidth="1"/>
    <col min="97" max="97" width="2.28515625" style="362" hidden="1" customWidth="1"/>
    <col min="98" max="98" width="9.85546875" style="362" hidden="1" customWidth="1"/>
    <col min="99" max="99" width="2.28515625" style="362" hidden="1" customWidth="1"/>
    <col min="100" max="100" width="6.5703125" style="362" hidden="1" customWidth="1"/>
    <col min="101" max="101" width="2.28515625" style="362" customWidth="1"/>
    <col min="102" max="102" width="9.85546875" style="362" bestFit="1" customWidth="1"/>
    <col min="103" max="103" width="2.28515625" style="362" customWidth="1"/>
    <col min="104" max="104" width="8.7109375" style="362" bestFit="1" customWidth="1"/>
    <col min="105" max="105" width="9.140625" style="360"/>
    <col min="106" max="106" width="14" style="86" customWidth="1"/>
    <col min="107" max="16384" width="9.140625" style="360"/>
  </cols>
  <sheetData>
    <row r="1" spans="1:106" x14ac:dyDescent="0.25">
      <c r="A1" s="369"/>
      <c r="B1" s="369"/>
      <c r="C1" s="369"/>
      <c r="D1" s="369"/>
      <c r="E1" s="369"/>
      <c r="F1" s="267" t="s">
        <v>103</v>
      </c>
      <c r="G1" s="268"/>
      <c r="H1" s="626"/>
      <c r="I1" s="269"/>
      <c r="J1" s="267" t="s">
        <v>104</v>
      </c>
      <c r="K1" s="268"/>
      <c r="L1" s="626"/>
      <c r="M1" s="269"/>
      <c r="N1" s="268"/>
      <c r="O1" s="268"/>
      <c r="P1" s="268"/>
      <c r="Q1" s="269"/>
      <c r="R1" s="268"/>
      <c r="S1" s="268"/>
      <c r="T1" s="626"/>
      <c r="U1" s="269"/>
      <c r="V1" s="267" t="s">
        <v>105</v>
      </c>
      <c r="W1" s="268"/>
      <c r="X1" s="268"/>
      <c r="Y1" s="269"/>
      <c r="Z1" s="267" t="s">
        <v>491</v>
      </c>
      <c r="AA1" s="268"/>
      <c r="AB1" s="268"/>
      <c r="AC1" s="269"/>
      <c r="AD1" s="267" t="s">
        <v>106</v>
      </c>
      <c r="AE1" s="268"/>
      <c r="AF1" s="268"/>
      <c r="AG1" s="269"/>
      <c r="AH1" s="267" t="s">
        <v>107</v>
      </c>
      <c r="AI1" s="268"/>
      <c r="AJ1" s="627"/>
      <c r="AK1" s="269"/>
      <c r="AL1" s="267" t="s">
        <v>108</v>
      </c>
      <c r="AM1" s="268"/>
      <c r="AN1" s="626"/>
      <c r="AO1" s="269"/>
      <c r="AP1" s="267" t="s">
        <v>492</v>
      </c>
      <c r="AQ1" s="268"/>
      <c r="AR1" s="627"/>
      <c r="AS1" s="269"/>
      <c r="AT1" s="267" t="s">
        <v>109</v>
      </c>
      <c r="AU1" s="268"/>
      <c r="AV1" s="268"/>
      <c r="AW1" s="269"/>
      <c r="AX1" s="267" t="s">
        <v>110</v>
      </c>
      <c r="AY1" s="268"/>
      <c r="AZ1" s="268"/>
      <c r="BA1" s="269"/>
      <c r="BB1" s="267" t="s">
        <v>493</v>
      </c>
      <c r="BC1" s="268"/>
      <c r="BD1" s="268"/>
      <c r="BE1" s="269"/>
      <c r="BF1" s="267" t="s">
        <v>111</v>
      </c>
      <c r="BG1" s="268"/>
      <c r="BH1" s="626"/>
      <c r="BI1" s="269"/>
      <c r="BJ1" s="267" t="s">
        <v>112</v>
      </c>
      <c r="BK1" s="268"/>
      <c r="BL1" s="268"/>
      <c r="BM1" s="269"/>
      <c r="BN1" s="267" t="s">
        <v>113</v>
      </c>
      <c r="BO1" s="268"/>
      <c r="BP1" s="268"/>
      <c r="BQ1" s="269"/>
      <c r="BR1" s="267" t="s">
        <v>114</v>
      </c>
      <c r="BS1" s="268"/>
      <c r="BT1" s="268"/>
      <c r="BU1" s="269"/>
      <c r="BV1" s="267" t="s">
        <v>115</v>
      </c>
      <c r="BW1" s="268"/>
      <c r="BX1" s="626"/>
      <c r="BY1" s="269"/>
      <c r="BZ1" s="268"/>
      <c r="CA1" s="268"/>
      <c r="CB1" s="268"/>
      <c r="CC1" s="269"/>
      <c r="CD1" s="267" t="s">
        <v>116</v>
      </c>
      <c r="CE1" s="268"/>
      <c r="CF1" s="268"/>
      <c r="CG1" s="269"/>
      <c r="CH1" s="267" t="s">
        <v>117</v>
      </c>
      <c r="CI1" s="268"/>
      <c r="CJ1" s="268"/>
      <c r="CK1" s="269"/>
      <c r="CL1" s="267" t="s">
        <v>118</v>
      </c>
      <c r="CM1" s="268"/>
      <c r="CN1" s="268"/>
      <c r="CO1" s="269"/>
      <c r="CP1" s="268"/>
      <c r="CQ1" s="268"/>
      <c r="CR1" s="268"/>
      <c r="CS1" s="269"/>
      <c r="CT1" s="268"/>
      <c r="CU1" s="268"/>
      <c r="CV1" s="268"/>
      <c r="CW1" s="269"/>
      <c r="CX1" s="268"/>
      <c r="CY1" s="268"/>
      <c r="CZ1" s="268"/>
    </row>
    <row r="2" spans="1:106" ht="15.75" thickBot="1" x14ac:dyDescent="0.3">
      <c r="A2" s="369"/>
      <c r="B2" s="369"/>
      <c r="C2" s="369"/>
      <c r="D2" s="369"/>
      <c r="E2" s="369"/>
      <c r="F2" s="267" t="s">
        <v>119</v>
      </c>
      <c r="G2" s="270"/>
      <c r="H2" s="626"/>
      <c r="I2" s="269"/>
      <c r="J2" s="267" t="s">
        <v>119</v>
      </c>
      <c r="K2" s="270"/>
      <c r="L2" s="626"/>
      <c r="M2" s="269"/>
      <c r="N2" s="267" t="s">
        <v>120</v>
      </c>
      <c r="O2" s="270"/>
      <c r="P2" s="268"/>
      <c r="Q2" s="269"/>
      <c r="R2" s="267" t="s">
        <v>121</v>
      </c>
      <c r="S2" s="270"/>
      <c r="T2" s="626"/>
      <c r="U2" s="269"/>
      <c r="V2" s="267" t="s">
        <v>122</v>
      </c>
      <c r="W2" s="270"/>
      <c r="X2" s="268"/>
      <c r="Y2" s="269"/>
      <c r="Z2" s="267" t="s">
        <v>122</v>
      </c>
      <c r="AA2" s="270"/>
      <c r="AB2" s="268"/>
      <c r="AC2" s="269"/>
      <c r="AD2" s="267" t="s">
        <v>122</v>
      </c>
      <c r="AE2" s="270"/>
      <c r="AF2" s="268"/>
      <c r="AG2" s="269"/>
      <c r="AH2" s="267" t="s">
        <v>123</v>
      </c>
      <c r="AI2" s="270"/>
      <c r="AJ2" s="627"/>
      <c r="AK2" s="269"/>
      <c r="AL2" s="267" t="s">
        <v>123</v>
      </c>
      <c r="AM2" s="270"/>
      <c r="AN2" s="626"/>
      <c r="AO2" s="269"/>
      <c r="AP2" s="267" t="s">
        <v>123</v>
      </c>
      <c r="AQ2" s="270"/>
      <c r="AR2" s="627"/>
      <c r="AS2" s="269"/>
      <c r="AT2" s="267" t="s">
        <v>124</v>
      </c>
      <c r="AU2" s="270"/>
      <c r="AV2" s="268"/>
      <c r="AW2" s="269"/>
      <c r="AX2" s="267" t="s">
        <v>124</v>
      </c>
      <c r="AY2" s="270"/>
      <c r="AZ2" s="268"/>
      <c r="BA2" s="269"/>
      <c r="BB2" s="267" t="s">
        <v>124</v>
      </c>
      <c r="BC2" s="270"/>
      <c r="BD2" s="268"/>
      <c r="BE2" s="269"/>
      <c r="BF2" s="267" t="s">
        <v>123</v>
      </c>
      <c r="BG2" s="270"/>
      <c r="BH2" s="626"/>
      <c r="BI2" s="269"/>
      <c r="BJ2" s="267" t="s">
        <v>125</v>
      </c>
      <c r="BK2" s="270"/>
      <c r="BL2" s="268"/>
      <c r="BM2" s="269"/>
      <c r="BN2" s="267" t="s">
        <v>125</v>
      </c>
      <c r="BO2" s="270"/>
      <c r="BP2" s="268"/>
      <c r="BQ2" s="269"/>
      <c r="BR2" s="267" t="s">
        <v>125</v>
      </c>
      <c r="BS2" s="270"/>
      <c r="BT2" s="268"/>
      <c r="BU2" s="269"/>
      <c r="BV2" s="267" t="s">
        <v>123</v>
      </c>
      <c r="BW2" s="270"/>
      <c r="BX2" s="626"/>
      <c r="BY2" s="269"/>
      <c r="BZ2" s="267" t="s">
        <v>126</v>
      </c>
      <c r="CA2" s="270"/>
      <c r="CB2" s="268"/>
      <c r="CC2" s="269"/>
      <c r="CD2" s="267" t="s">
        <v>127</v>
      </c>
      <c r="CE2" s="270"/>
      <c r="CF2" s="268"/>
      <c r="CG2" s="269"/>
      <c r="CH2" s="267" t="s">
        <v>127</v>
      </c>
      <c r="CI2" s="270"/>
      <c r="CJ2" s="268"/>
      <c r="CK2" s="269"/>
      <c r="CL2" s="267" t="s">
        <v>127</v>
      </c>
      <c r="CM2" s="270"/>
      <c r="CN2" s="268"/>
      <c r="CO2" s="269"/>
      <c r="CP2" s="267" t="s">
        <v>128</v>
      </c>
      <c r="CQ2" s="270"/>
      <c r="CR2" s="268"/>
      <c r="CS2" s="269"/>
      <c r="CT2" s="267" t="s">
        <v>494</v>
      </c>
      <c r="CU2" s="270"/>
      <c r="CV2" s="268"/>
      <c r="CW2" s="269"/>
      <c r="CX2" s="267" t="s">
        <v>129</v>
      </c>
      <c r="CY2" s="270"/>
      <c r="CZ2" s="268"/>
    </row>
    <row r="3" spans="1:106" s="364" customFormat="1" ht="16.5" thickTop="1" thickBot="1" x14ac:dyDescent="0.3">
      <c r="A3" s="363"/>
      <c r="B3" s="363"/>
      <c r="C3" s="363"/>
      <c r="D3" s="363"/>
      <c r="E3" s="363"/>
      <c r="F3" s="271" t="s">
        <v>475</v>
      </c>
      <c r="G3" s="272"/>
      <c r="H3" s="628" t="s">
        <v>48</v>
      </c>
      <c r="I3" s="272"/>
      <c r="J3" s="271" t="s">
        <v>475</v>
      </c>
      <c r="K3" s="272"/>
      <c r="L3" s="628" t="s">
        <v>48</v>
      </c>
      <c r="M3" s="272"/>
      <c r="N3" s="271" t="s">
        <v>475</v>
      </c>
      <c r="O3" s="272"/>
      <c r="P3" s="271" t="s">
        <v>48</v>
      </c>
      <c r="Q3" s="272"/>
      <c r="R3" s="271" t="s">
        <v>475</v>
      </c>
      <c r="S3" s="272"/>
      <c r="T3" s="628" t="s">
        <v>48</v>
      </c>
      <c r="U3" s="272"/>
      <c r="V3" s="271" t="s">
        <v>475</v>
      </c>
      <c r="W3" s="272"/>
      <c r="X3" s="271" t="s">
        <v>48</v>
      </c>
      <c r="Y3" s="272"/>
      <c r="Z3" s="271" t="s">
        <v>475</v>
      </c>
      <c r="AA3" s="272"/>
      <c r="AB3" s="271" t="s">
        <v>48</v>
      </c>
      <c r="AC3" s="272"/>
      <c r="AD3" s="271" t="s">
        <v>475</v>
      </c>
      <c r="AE3" s="272"/>
      <c r="AF3" s="271" t="s">
        <v>48</v>
      </c>
      <c r="AG3" s="272"/>
      <c r="AH3" s="271" t="s">
        <v>475</v>
      </c>
      <c r="AI3" s="272"/>
      <c r="AJ3" s="629" t="s">
        <v>48</v>
      </c>
      <c r="AK3" s="272"/>
      <c r="AL3" s="271" t="s">
        <v>475</v>
      </c>
      <c r="AM3" s="272"/>
      <c r="AN3" s="628" t="s">
        <v>48</v>
      </c>
      <c r="AO3" s="272"/>
      <c r="AP3" s="271" t="s">
        <v>475</v>
      </c>
      <c r="AQ3" s="272"/>
      <c r="AR3" s="629" t="s">
        <v>48</v>
      </c>
      <c r="AS3" s="272"/>
      <c r="AT3" s="271" t="s">
        <v>475</v>
      </c>
      <c r="AU3" s="272"/>
      <c r="AV3" s="271" t="s">
        <v>48</v>
      </c>
      <c r="AW3" s="272"/>
      <c r="AX3" s="271" t="s">
        <v>475</v>
      </c>
      <c r="AY3" s="272"/>
      <c r="AZ3" s="271" t="s">
        <v>48</v>
      </c>
      <c r="BA3" s="272"/>
      <c r="BB3" s="271" t="s">
        <v>475</v>
      </c>
      <c r="BC3" s="272"/>
      <c r="BD3" s="271" t="s">
        <v>48</v>
      </c>
      <c r="BE3" s="272"/>
      <c r="BF3" s="271" t="s">
        <v>475</v>
      </c>
      <c r="BG3" s="272"/>
      <c r="BH3" s="628" t="s">
        <v>48</v>
      </c>
      <c r="BI3" s="272"/>
      <c r="BJ3" s="271" t="s">
        <v>475</v>
      </c>
      <c r="BK3" s="272"/>
      <c r="BL3" s="271" t="s">
        <v>48</v>
      </c>
      <c r="BM3" s="272"/>
      <c r="BN3" s="271" t="s">
        <v>475</v>
      </c>
      <c r="BO3" s="272"/>
      <c r="BP3" s="271" t="s">
        <v>48</v>
      </c>
      <c r="BQ3" s="272"/>
      <c r="BR3" s="271" t="s">
        <v>475</v>
      </c>
      <c r="BS3" s="272"/>
      <c r="BT3" s="271" t="s">
        <v>48</v>
      </c>
      <c r="BU3" s="272"/>
      <c r="BV3" s="271" t="s">
        <v>475</v>
      </c>
      <c r="BW3" s="272"/>
      <c r="BX3" s="628" t="s">
        <v>48</v>
      </c>
      <c r="BY3" s="272"/>
      <c r="BZ3" s="271" t="s">
        <v>475</v>
      </c>
      <c r="CA3" s="272"/>
      <c r="CB3" s="271" t="s">
        <v>48</v>
      </c>
      <c r="CC3" s="272"/>
      <c r="CD3" s="271" t="s">
        <v>475</v>
      </c>
      <c r="CE3" s="272"/>
      <c r="CF3" s="271" t="s">
        <v>48</v>
      </c>
      <c r="CG3" s="272"/>
      <c r="CH3" s="271" t="s">
        <v>475</v>
      </c>
      <c r="CI3" s="272"/>
      <c r="CJ3" s="271" t="s">
        <v>48</v>
      </c>
      <c r="CK3" s="272"/>
      <c r="CL3" s="271" t="s">
        <v>475</v>
      </c>
      <c r="CM3" s="272"/>
      <c r="CN3" s="271" t="s">
        <v>48</v>
      </c>
      <c r="CO3" s="272"/>
      <c r="CP3" s="271" t="s">
        <v>475</v>
      </c>
      <c r="CQ3" s="272"/>
      <c r="CR3" s="271" t="s">
        <v>48</v>
      </c>
      <c r="CS3" s="272"/>
      <c r="CT3" s="271" t="s">
        <v>475</v>
      </c>
      <c r="CU3" s="272"/>
      <c r="CV3" s="271" t="s">
        <v>48</v>
      </c>
      <c r="CW3" s="272"/>
      <c r="CX3" s="271" t="s">
        <v>475</v>
      </c>
      <c r="CY3" s="272"/>
      <c r="CZ3" s="271" t="s">
        <v>48</v>
      </c>
      <c r="DB3" s="630"/>
    </row>
    <row r="4" spans="1:106" ht="15.75" thickTop="1" x14ac:dyDescent="0.25">
      <c r="A4" s="369"/>
      <c r="B4" s="369" t="s">
        <v>130</v>
      </c>
      <c r="C4" s="369"/>
      <c r="D4" s="369"/>
      <c r="E4" s="369"/>
      <c r="F4" s="366"/>
      <c r="G4" s="274"/>
      <c r="H4" s="623"/>
      <c r="I4" s="274"/>
      <c r="J4" s="366"/>
      <c r="K4" s="274"/>
      <c r="L4" s="623"/>
      <c r="M4" s="274"/>
      <c r="N4" s="366"/>
      <c r="O4" s="274"/>
      <c r="P4" s="366"/>
      <c r="Q4" s="274"/>
      <c r="R4" s="366"/>
      <c r="S4" s="274"/>
      <c r="T4" s="623"/>
      <c r="U4" s="274"/>
      <c r="V4" s="366"/>
      <c r="W4" s="274"/>
      <c r="X4" s="366"/>
      <c r="Y4" s="274"/>
      <c r="Z4" s="366"/>
      <c r="AA4" s="274"/>
      <c r="AB4" s="366"/>
      <c r="AC4" s="274"/>
      <c r="AD4" s="366"/>
      <c r="AE4" s="274"/>
      <c r="AF4" s="366"/>
      <c r="AG4" s="274"/>
      <c r="AH4" s="366"/>
      <c r="AI4" s="274"/>
      <c r="AJ4" s="631"/>
      <c r="AK4" s="274"/>
      <c r="AL4" s="366"/>
      <c r="AM4" s="274"/>
      <c r="AN4" s="623"/>
      <c r="AO4" s="274"/>
      <c r="AP4" s="366"/>
      <c r="AQ4" s="274"/>
      <c r="AR4" s="631"/>
      <c r="AS4" s="274"/>
      <c r="AT4" s="366"/>
      <c r="AU4" s="274"/>
      <c r="AV4" s="366"/>
      <c r="AW4" s="274"/>
      <c r="AX4" s="366"/>
      <c r="AY4" s="274"/>
      <c r="AZ4" s="366"/>
      <c r="BA4" s="274"/>
      <c r="BB4" s="366"/>
      <c r="BC4" s="274"/>
      <c r="BD4" s="366"/>
      <c r="BE4" s="274"/>
      <c r="BF4" s="366"/>
      <c r="BG4" s="274"/>
      <c r="BH4" s="623"/>
      <c r="BI4" s="274"/>
      <c r="BJ4" s="366"/>
      <c r="BK4" s="274"/>
      <c r="BL4" s="366"/>
      <c r="BM4" s="274"/>
      <c r="BN4" s="366"/>
      <c r="BO4" s="274"/>
      <c r="BP4" s="366"/>
      <c r="BQ4" s="274"/>
      <c r="BR4" s="366"/>
      <c r="BS4" s="274"/>
      <c r="BT4" s="366"/>
      <c r="BU4" s="274"/>
      <c r="BV4" s="366"/>
      <c r="BW4" s="274"/>
      <c r="BX4" s="623"/>
      <c r="BY4" s="274"/>
      <c r="BZ4" s="366"/>
      <c r="CA4" s="274"/>
      <c r="CB4" s="366"/>
      <c r="CC4" s="274"/>
      <c r="CD4" s="366"/>
      <c r="CE4" s="274"/>
      <c r="CF4" s="366"/>
      <c r="CG4" s="274"/>
      <c r="CH4" s="366"/>
      <c r="CI4" s="274"/>
      <c r="CJ4" s="366"/>
      <c r="CK4" s="274"/>
      <c r="CL4" s="366"/>
      <c r="CM4" s="274"/>
      <c r="CN4" s="366"/>
      <c r="CO4" s="274"/>
      <c r="CP4" s="366"/>
      <c r="CQ4" s="274"/>
      <c r="CR4" s="366"/>
      <c r="CS4" s="274"/>
      <c r="CT4" s="366"/>
      <c r="CU4" s="274"/>
      <c r="CV4" s="366"/>
      <c r="CW4" s="274"/>
      <c r="CX4" s="366"/>
      <c r="CY4" s="274"/>
      <c r="CZ4" s="366"/>
    </row>
    <row r="5" spans="1:106" x14ac:dyDescent="0.25">
      <c r="A5" s="369"/>
      <c r="B5" s="369"/>
      <c r="C5" s="369"/>
      <c r="D5" s="369" t="s">
        <v>131</v>
      </c>
      <c r="E5" s="369"/>
      <c r="F5" s="366"/>
      <c r="G5" s="274"/>
      <c r="H5" s="623"/>
      <c r="I5" s="274"/>
      <c r="J5" s="366"/>
      <c r="K5" s="274"/>
      <c r="L5" s="623"/>
      <c r="M5" s="274"/>
      <c r="N5" s="366"/>
      <c r="O5" s="274"/>
      <c r="P5" s="366"/>
      <c r="Q5" s="274"/>
      <c r="R5" s="366"/>
      <c r="S5" s="274"/>
      <c r="T5" s="623"/>
      <c r="U5" s="274"/>
      <c r="V5" s="366"/>
      <c r="W5" s="274"/>
      <c r="X5" s="366"/>
      <c r="Y5" s="274"/>
      <c r="Z5" s="366"/>
      <c r="AA5" s="274"/>
      <c r="AB5" s="366"/>
      <c r="AC5" s="274"/>
      <c r="AD5" s="366"/>
      <c r="AE5" s="274"/>
      <c r="AF5" s="366"/>
      <c r="AG5" s="274"/>
      <c r="AH5" s="366"/>
      <c r="AI5" s="274"/>
      <c r="AJ5" s="631"/>
      <c r="AK5" s="274"/>
      <c r="AL5" s="366"/>
      <c r="AM5" s="274"/>
      <c r="AN5" s="623"/>
      <c r="AO5" s="274"/>
      <c r="AP5" s="366"/>
      <c r="AQ5" s="274"/>
      <c r="AR5" s="631"/>
      <c r="AS5" s="274"/>
      <c r="AT5" s="366"/>
      <c r="AU5" s="274"/>
      <c r="AV5" s="366"/>
      <c r="AW5" s="274"/>
      <c r="AX5" s="366"/>
      <c r="AY5" s="274"/>
      <c r="AZ5" s="366"/>
      <c r="BA5" s="274"/>
      <c r="BB5" s="366"/>
      <c r="BC5" s="274"/>
      <c r="BD5" s="366"/>
      <c r="BE5" s="274"/>
      <c r="BF5" s="366"/>
      <c r="BG5" s="274"/>
      <c r="BH5" s="623"/>
      <c r="BI5" s="274"/>
      <c r="BJ5" s="366"/>
      <c r="BK5" s="274"/>
      <c r="BL5" s="366"/>
      <c r="BM5" s="274"/>
      <c r="BN5" s="366"/>
      <c r="BO5" s="274"/>
      <c r="BP5" s="366"/>
      <c r="BQ5" s="274"/>
      <c r="BR5" s="366"/>
      <c r="BS5" s="274"/>
      <c r="BT5" s="366"/>
      <c r="BU5" s="274"/>
      <c r="BV5" s="366"/>
      <c r="BW5" s="274"/>
      <c r="BX5" s="623"/>
      <c r="BY5" s="274"/>
      <c r="BZ5" s="366"/>
      <c r="CA5" s="274"/>
      <c r="CB5" s="366"/>
      <c r="CC5" s="274"/>
      <c r="CD5" s="366"/>
      <c r="CE5" s="274"/>
      <c r="CF5" s="366"/>
      <c r="CG5" s="274"/>
      <c r="CH5" s="366"/>
      <c r="CI5" s="274"/>
      <c r="CJ5" s="366"/>
      <c r="CK5" s="274"/>
      <c r="CL5" s="366"/>
      <c r="CM5" s="274"/>
      <c r="CN5" s="366"/>
      <c r="CO5" s="274"/>
      <c r="CP5" s="366"/>
      <c r="CQ5" s="274"/>
      <c r="CR5" s="366"/>
      <c r="CS5" s="274"/>
      <c r="CT5" s="366"/>
      <c r="CU5" s="274"/>
      <c r="CV5" s="366"/>
      <c r="CW5" s="274"/>
      <c r="CX5" s="366"/>
      <c r="CY5" s="274"/>
      <c r="CZ5" s="366"/>
    </row>
    <row r="6" spans="1:106" x14ac:dyDescent="0.25">
      <c r="A6" s="369"/>
      <c r="B6" s="369"/>
      <c r="C6" s="369"/>
      <c r="D6" s="369"/>
      <c r="E6" s="369" t="s">
        <v>132</v>
      </c>
      <c r="F6" s="366">
        <v>0</v>
      </c>
      <c r="G6" s="274"/>
      <c r="H6" s="623"/>
      <c r="I6" s="274"/>
      <c r="J6" s="366">
        <v>110827.58</v>
      </c>
      <c r="K6" s="274"/>
      <c r="L6" s="623">
        <v>184330</v>
      </c>
      <c r="M6" s="274"/>
      <c r="N6" s="366">
        <f t="shared" ref="N6:N11" si="0">ROUND(F6+J6,5)</f>
        <v>110827.58</v>
      </c>
      <c r="O6" s="274"/>
      <c r="P6" s="366">
        <f t="shared" ref="P6:P11" si="1">ROUND(H6+L6,5)</f>
        <v>184330</v>
      </c>
      <c r="Q6" s="274"/>
      <c r="R6" s="366">
        <v>0</v>
      </c>
      <c r="S6" s="274"/>
      <c r="T6" s="623"/>
      <c r="U6" s="274"/>
      <c r="V6" s="366">
        <v>0</v>
      </c>
      <c r="W6" s="274"/>
      <c r="X6" s="366"/>
      <c r="Y6" s="274"/>
      <c r="Z6" s="366">
        <v>0</v>
      </c>
      <c r="AA6" s="274"/>
      <c r="AB6" s="366"/>
      <c r="AC6" s="274"/>
      <c r="AD6" s="366">
        <v>0</v>
      </c>
      <c r="AE6" s="274"/>
      <c r="AF6" s="366"/>
      <c r="AG6" s="274"/>
      <c r="AH6" s="366">
        <f t="shared" ref="AH6:AH11" si="2">ROUND(V6+Z6+AD6,5)</f>
        <v>0</v>
      </c>
      <c r="AI6" s="274"/>
      <c r="AJ6" s="631"/>
      <c r="AK6" s="274"/>
      <c r="AL6" s="366">
        <v>0</v>
      </c>
      <c r="AM6" s="274"/>
      <c r="AN6" s="623"/>
      <c r="AO6" s="274"/>
      <c r="AP6" s="366">
        <v>0</v>
      </c>
      <c r="AQ6" s="274"/>
      <c r="AR6" s="631"/>
      <c r="AS6" s="274"/>
      <c r="AT6" s="366">
        <v>0</v>
      </c>
      <c r="AU6" s="274"/>
      <c r="AV6" s="366"/>
      <c r="AW6" s="274"/>
      <c r="AX6" s="366">
        <v>0</v>
      </c>
      <c r="AY6" s="274"/>
      <c r="AZ6" s="366">
        <v>0</v>
      </c>
      <c r="BA6" s="274"/>
      <c r="BB6" s="366">
        <v>0</v>
      </c>
      <c r="BC6" s="274"/>
      <c r="BD6" s="366"/>
      <c r="BE6" s="274"/>
      <c r="BF6" s="366">
        <f t="shared" ref="BF6:BF11" si="3">ROUND(AT6+AX6+BB6,5)</f>
        <v>0</v>
      </c>
      <c r="BG6" s="274"/>
      <c r="BH6" s="623">
        <f>ROUND(AV6+AZ6+BD6,5)</f>
        <v>0</v>
      </c>
      <c r="BI6" s="274"/>
      <c r="BJ6" s="366">
        <v>0</v>
      </c>
      <c r="BK6" s="274"/>
      <c r="BL6" s="366"/>
      <c r="BM6" s="274"/>
      <c r="BN6" s="366">
        <v>0</v>
      </c>
      <c r="BO6" s="274"/>
      <c r="BP6" s="366"/>
      <c r="BQ6" s="274"/>
      <c r="BR6" s="366">
        <v>0</v>
      </c>
      <c r="BS6" s="274"/>
      <c r="BT6" s="366"/>
      <c r="BU6" s="274"/>
      <c r="BV6" s="366">
        <f t="shared" ref="BV6:BV11" si="4">ROUND(BJ6+BN6+BR6,5)</f>
        <v>0</v>
      </c>
      <c r="BW6" s="274"/>
      <c r="BX6" s="623"/>
      <c r="BY6" s="274"/>
      <c r="BZ6" s="366">
        <f t="shared" ref="BZ6:BZ11" si="5">ROUND(AH6+AL6+AP6+BF6+BV6,5)</f>
        <v>0</v>
      </c>
      <c r="CA6" s="274"/>
      <c r="CB6" s="366">
        <f>ROUND(AJ6+AN6+AR6+BH6+BX6,5)</f>
        <v>0</v>
      </c>
      <c r="CC6" s="274"/>
      <c r="CD6" s="366">
        <v>0</v>
      </c>
      <c r="CE6" s="274"/>
      <c r="CF6" s="366"/>
      <c r="CG6" s="274"/>
      <c r="CH6" s="366">
        <v>0</v>
      </c>
      <c r="CI6" s="274"/>
      <c r="CJ6" s="366"/>
      <c r="CK6" s="274"/>
      <c r="CL6" s="366">
        <v>0</v>
      </c>
      <c r="CM6" s="274"/>
      <c r="CN6" s="366"/>
      <c r="CO6" s="274"/>
      <c r="CP6" s="366">
        <f t="shared" ref="CP6:CP11" si="6">ROUND(CD6+CH6+CL6,5)</f>
        <v>0</v>
      </c>
      <c r="CQ6" s="274"/>
      <c r="CR6" s="366"/>
      <c r="CS6" s="274"/>
      <c r="CT6" s="366">
        <v>0</v>
      </c>
      <c r="CU6" s="274"/>
      <c r="CV6" s="366">
        <v>0</v>
      </c>
      <c r="CW6" s="274"/>
      <c r="CX6" s="366">
        <f t="shared" ref="CX6:CX11" si="7">ROUND(N6+R6+BZ6+CP6+CT6,5)</f>
        <v>110827.58</v>
      </c>
      <c r="CY6" s="274"/>
      <c r="CZ6" s="366">
        <f t="shared" ref="CZ6:CZ11" si="8">ROUND(P6+T6+CB6+CR6+CV6,5)</f>
        <v>184330</v>
      </c>
    </row>
    <row r="7" spans="1:106" x14ac:dyDescent="0.25">
      <c r="A7" s="369"/>
      <c r="B7" s="369"/>
      <c r="C7" s="369"/>
      <c r="D7" s="369"/>
      <c r="E7" s="369" t="s">
        <v>133</v>
      </c>
      <c r="F7" s="366">
        <v>0</v>
      </c>
      <c r="G7" s="274"/>
      <c r="H7" s="623">
        <v>0</v>
      </c>
      <c r="I7" s="274"/>
      <c r="J7" s="366">
        <v>0</v>
      </c>
      <c r="K7" s="274"/>
      <c r="L7" s="623">
        <v>0</v>
      </c>
      <c r="M7" s="274"/>
      <c r="N7" s="366">
        <f t="shared" si="0"/>
        <v>0</v>
      </c>
      <c r="O7" s="274"/>
      <c r="P7" s="366">
        <f t="shared" si="1"/>
        <v>0</v>
      </c>
      <c r="Q7" s="274"/>
      <c r="R7" s="366">
        <v>38942.78</v>
      </c>
      <c r="S7" s="274"/>
      <c r="T7" s="623">
        <v>70000</v>
      </c>
      <c r="U7" s="274"/>
      <c r="V7" s="366">
        <v>0</v>
      </c>
      <c r="W7" s="274"/>
      <c r="X7" s="366"/>
      <c r="Y7" s="274"/>
      <c r="Z7" s="366">
        <v>0</v>
      </c>
      <c r="AA7" s="274"/>
      <c r="AB7" s="366"/>
      <c r="AC7" s="274"/>
      <c r="AD7" s="366">
        <v>0</v>
      </c>
      <c r="AE7" s="274"/>
      <c r="AF7" s="366"/>
      <c r="AG7" s="274"/>
      <c r="AH7" s="366">
        <f t="shared" si="2"/>
        <v>0</v>
      </c>
      <c r="AI7" s="274"/>
      <c r="AJ7" s="631"/>
      <c r="AK7" s="274"/>
      <c r="AL7" s="366">
        <v>0</v>
      </c>
      <c r="AM7" s="274"/>
      <c r="AN7" s="623"/>
      <c r="AO7" s="274"/>
      <c r="AP7" s="366">
        <v>0</v>
      </c>
      <c r="AQ7" s="274"/>
      <c r="AR7" s="631">
        <v>0</v>
      </c>
      <c r="AS7" s="274"/>
      <c r="AT7" s="366">
        <v>0</v>
      </c>
      <c r="AU7" s="274"/>
      <c r="AV7" s="366"/>
      <c r="AW7" s="274"/>
      <c r="AX7" s="366">
        <v>2672.23</v>
      </c>
      <c r="AY7" s="274"/>
      <c r="AZ7" s="366">
        <v>6000</v>
      </c>
      <c r="BA7" s="274"/>
      <c r="BB7" s="366">
        <v>0</v>
      </c>
      <c r="BC7" s="274"/>
      <c r="BD7" s="366"/>
      <c r="BE7" s="274"/>
      <c r="BF7" s="366">
        <f t="shared" si="3"/>
        <v>2672.23</v>
      </c>
      <c r="BG7" s="274"/>
      <c r="BH7" s="623">
        <f>ROUND(AV7+AZ7+BD7,5)</f>
        <v>6000</v>
      </c>
      <c r="BI7" s="274"/>
      <c r="BJ7" s="366">
        <v>1100</v>
      </c>
      <c r="BK7" s="274"/>
      <c r="BL7" s="366">
        <v>0</v>
      </c>
      <c r="BM7" s="274"/>
      <c r="BN7" s="366">
        <v>3095</v>
      </c>
      <c r="BO7" s="274"/>
      <c r="BP7" s="366">
        <v>25000</v>
      </c>
      <c r="BQ7" s="274"/>
      <c r="BR7" s="366">
        <v>0</v>
      </c>
      <c r="BS7" s="274"/>
      <c r="BT7" s="366">
        <v>10000</v>
      </c>
      <c r="BU7" s="274"/>
      <c r="BV7" s="366">
        <f t="shared" si="4"/>
        <v>4195</v>
      </c>
      <c r="BW7" s="274"/>
      <c r="BX7" s="623">
        <f>ROUND(BL7+BP7+BT7,5)</f>
        <v>35000</v>
      </c>
      <c r="BY7" s="274"/>
      <c r="BZ7" s="366">
        <f t="shared" si="5"/>
        <v>6867.23</v>
      </c>
      <c r="CA7" s="274"/>
      <c r="CB7" s="366">
        <f>ROUND(AJ7+AN7+AR7+BH7+BX7,5)</f>
        <v>41000</v>
      </c>
      <c r="CC7" s="274"/>
      <c r="CD7" s="366">
        <v>0</v>
      </c>
      <c r="CE7" s="274"/>
      <c r="CF7" s="366"/>
      <c r="CG7" s="274"/>
      <c r="CH7" s="366">
        <v>0</v>
      </c>
      <c r="CI7" s="274"/>
      <c r="CJ7" s="366"/>
      <c r="CK7" s="274"/>
      <c r="CL7" s="366">
        <v>0</v>
      </c>
      <c r="CM7" s="274"/>
      <c r="CN7" s="366"/>
      <c r="CO7" s="274"/>
      <c r="CP7" s="366">
        <f t="shared" si="6"/>
        <v>0</v>
      </c>
      <c r="CQ7" s="274"/>
      <c r="CR7" s="366"/>
      <c r="CS7" s="274"/>
      <c r="CT7" s="366">
        <v>0</v>
      </c>
      <c r="CU7" s="274"/>
      <c r="CV7" s="366">
        <v>0</v>
      </c>
      <c r="CW7" s="274"/>
      <c r="CX7" s="366">
        <f t="shared" si="7"/>
        <v>45810.01</v>
      </c>
      <c r="CY7" s="274"/>
      <c r="CZ7" s="366">
        <f t="shared" si="8"/>
        <v>111000</v>
      </c>
    </row>
    <row r="8" spans="1:106" x14ac:dyDescent="0.25">
      <c r="A8" s="369"/>
      <c r="B8" s="369"/>
      <c r="C8" s="369"/>
      <c r="D8" s="369"/>
      <c r="E8" s="369" t="s">
        <v>134</v>
      </c>
      <c r="F8" s="366">
        <v>0</v>
      </c>
      <c r="G8" s="274"/>
      <c r="H8" s="623"/>
      <c r="I8" s="274"/>
      <c r="J8" s="366">
        <v>0</v>
      </c>
      <c r="K8" s="274"/>
      <c r="L8" s="623">
        <v>7100</v>
      </c>
      <c r="M8" s="274"/>
      <c r="N8" s="366">
        <f t="shared" si="0"/>
        <v>0</v>
      </c>
      <c r="O8" s="274"/>
      <c r="P8" s="366">
        <f t="shared" si="1"/>
        <v>7100</v>
      </c>
      <c r="Q8" s="274"/>
      <c r="R8" s="366">
        <v>1088.2</v>
      </c>
      <c r="S8" s="274"/>
      <c r="T8" s="623">
        <v>3000</v>
      </c>
      <c r="U8" s="274"/>
      <c r="V8" s="366">
        <v>0</v>
      </c>
      <c r="W8" s="274"/>
      <c r="X8" s="366"/>
      <c r="Y8" s="274"/>
      <c r="Z8" s="366">
        <v>0</v>
      </c>
      <c r="AA8" s="274"/>
      <c r="AB8" s="366"/>
      <c r="AC8" s="274"/>
      <c r="AD8" s="366">
        <v>0</v>
      </c>
      <c r="AE8" s="274"/>
      <c r="AF8" s="366"/>
      <c r="AG8" s="274"/>
      <c r="AH8" s="366">
        <f t="shared" si="2"/>
        <v>0</v>
      </c>
      <c r="AI8" s="274"/>
      <c r="AJ8" s="631"/>
      <c r="AK8" s="274"/>
      <c r="AL8" s="366">
        <v>0</v>
      </c>
      <c r="AM8" s="274"/>
      <c r="AN8" s="623">
        <v>135000</v>
      </c>
      <c r="AO8" s="274"/>
      <c r="AP8" s="366">
        <v>0</v>
      </c>
      <c r="AQ8" s="274"/>
      <c r="AR8" s="631"/>
      <c r="AS8" s="274"/>
      <c r="AT8" s="366">
        <v>2704.76</v>
      </c>
      <c r="AU8" s="274"/>
      <c r="AV8" s="366">
        <v>0</v>
      </c>
      <c r="AW8" s="274"/>
      <c r="AX8" s="366">
        <v>38392.5</v>
      </c>
      <c r="AY8" s="274"/>
      <c r="AZ8" s="366">
        <v>107500</v>
      </c>
      <c r="BA8" s="274"/>
      <c r="BB8" s="366">
        <v>0</v>
      </c>
      <c r="BC8" s="274"/>
      <c r="BD8" s="366">
        <v>0</v>
      </c>
      <c r="BE8" s="274"/>
      <c r="BF8" s="366">
        <f t="shared" si="3"/>
        <v>41097.26</v>
      </c>
      <c r="BG8" s="274"/>
      <c r="BH8" s="623">
        <f>ROUND(AV8+AZ8+BD8,5)</f>
        <v>107500</v>
      </c>
      <c r="BI8" s="274"/>
      <c r="BJ8" s="366">
        <v>0</v>
      </c>
      <c r="BK8" s="274"/>
      <c r="BL8" s="366"/>
      <c r="BM8" s="274"/>
      <c r="BN8" s="366">
        <v>0</v>
      </c>
      <c r="BO8" s="274"/>
      <c r="BP8" s="366"/>
      <c r="BQ8" s="274"/>
      <c r="BR8" s="366">
        <v>0</v>
      </c>
      <c r="BS8" s="274"/>
      <c r="BT8" s="366">
        <v>2000</v>
      </c>
      <c r="BU8" s="274"/>
      <c r="BV8" s="366">
        <f t="shared" si="4"/>
        <v>0</v>
      </c>
      <c r="BW8" s="274"/>
      <c r="BX8" s="623">
        <f>ROUND(BL8+BP8+BT8,5)</f>
        <v>2000</v>
      </c>
      <c r="BY8" s="274"/>
      <c r="BZ8" s="366">
        <f t="shared" si="5"/>
        <v>41097.26</v>
      </c>
      <c r="CA8" s="274"/>
      <c r="CB8" s="366">
        <f>ROUND(AJ8+AN8+AR8+BH8+BX8,5)</f>
        <v>244500</v>
      </c>
      <c r="CC8" s="274"/>
      <c r="CD8" s="366">
        <v>0</v>
      </c>
      <c r="CE8" s="274"/>
      <c r="CF8" s="366"/>
      <c r="CG8" s="274"/>
      <c r="CH8" s="366">
        <v>0</v>
      </c>
      <c r="CI8" s="274"/>
      <c r="CJ8" s="366"/>
      <c r="CK8" s="274"/>
      <c r="CL8" s="366">
        <v>0</v>
      </c>
      <c r="CM8" s="274"/>
      <c r="CN8" s="366"/>
      <c r="CO8" s="274"/>
      <c r="CP8" s="366">
        <f t="shared" si="6"/>
        <v>0</v>
      </c>
      <c r="CQ8" s="274"/>
      <c r="CR8" s="366"/>
      <c r="CS8" s="274"/>
      <c r="CT8" s="366">
        <v>0</v>
      </c>
      <c r="CU8" s="274"/>
      <c r="CV8" s="366">
        <v>0</v>
      </c>
      <c r="CW8" s="274"/>
      <c r="CX8" s="366">
        <f t="shared" si="7"/>
        <v>42185.46</v>
      </c>
      <c r="CY8" s="274"/>
      <c r="CZ8" s="366">
        <f t="shared" si="8"/>
        <v>254600</v>
      </c>
    </row>
    <row r="9" spans="1:106" x14ac:dyDescent="0.25">
      <c r="A9" s="369"/>
      <c r="B9" s="369"/>
      <c r="C9" s="369"/>
      <c r="D9" s="369"/>
      <c r="E9" s="369" t="s">
        <v>135</v>
      </c>
      <c r="F9" s="366">
        <v>0</v>
      </c>
      <c r="G9" s="274"/>
      <c r="H9" s="623"/>
      <c r="I9" s="274"/>
      <c r="J9" s="366">
        <v>525</v>
      </c>
      <c r="K9" s="274"/>
      <c r="L9" s="623">
        <v>2100</v>
      </c>
      <c r="M9" s="274"/>
      <c r="N9" s="366">
        <f t="shared" si="0"/>
        <v>525</v>
      </c>
      <c r="O9" s="274"/>
      <c r="P9" s="366">
        <f t="shared" si="1"/>
        <v>2100</v>
      </c>
      <c r="Q9" s="274"/>
      <c r="R9" s="366">
        <v>0</v>
      </c>
      <c r="S9" s="274"/>
      <c r="T9" s="623"/>
      <c r="U9" s="274"/>
      <c r="V9" s="366">
        <v>0</v>
      </c>
      <c r="W9" s="274"/>
      <c r="X9" s="366"/>
      <c r="Y9" s="274"/>
      <c r="Z9" s="366">
        <v>0</v>
      </c>
      <c r="AA9" s="274"/>
      <c r="AB9" s="366"/>
      <c r="AC9" s="274"/>
      <c r="AD9" s="366">
        <v>0</v>
      </c>
      <c r="AE9" s="274"/>
      <c r="AF9" s="366"/>
      <c r="AG9" s="274"/>
      <c r="AH9" s="366">
        <f t="shared" si="2"/>
        <v>0</v>
      </c>
      <c r="AI9" s="274"/>
      <c r="AJ9" s="631"/>
      <c r="AK9" s="274"/>
      <c r="AL9" s="366">
        <v>0</v>
      </c>
      <c r="AM9" s="274"/>
      <c r="AN9" s="623"/>
      <c r="AO9" s="274"/>
      <c r="AP9" s="366">
        <v>0</v>
      </c>
      <c r="AQ9" s="274"/>
      <c r="AR9" s="631"/>
      <c r="AS9" s="274"/>
      <c r="AT9" s="366">
        <v>0</v>
      </c>
      <c r="AU9" s="274"/>
      <c r="AV9" s="366"/>
      <c r="AW9" s="274"/>
      <c r="AX9" s="366">
        <v>0</v>
      </c>
      <c r="AY9" s="274"/>
      <c r="AZ9" s="366"/>
      <c r="BA9" s="274"/>
      <c r="BB9" s="366">
        <v>0</v>
      </c>
      <c r="BC9" s="274"/>
      <c r="BD9" s="366"/>
      <c r="BE9" s="274"/>
      <c r="BF9" s="366">
        <f t="shared" si="3"/>
        <v>0</v>
      </c>
      <c r="BG9" s="274"/>
      <c r="BH9" s="623"/>
      <c r="BI9" s="274"/>
      <c r="BJ9" s="366">
        <v>0</v>
      </c>
      <c r="BK9" s="274"/>
      <c r="BL9" s="366"/>
      <c r="BM9" s="274"/>
      <c r="BN9" s="366">
        <v>0</v>
      </c>
      <c r="BO9" s="274"/>
      <c r="BP9" s="366"/>
      <c r="BQ9" s="274"/>
      <c r="BR9" s="366">
        <v>0</v>
      </c>
      <c r="BS9" s="274"/>
      <c r="BT9" s="366"/>
      <c r="BU9" s="274"/>
      <c r="BV9" s="366">
        <f t="shared" si="4"/>
        <v>0</v>
      </c>
      <c r="BW9" s="274"/>
      <c r="BX9" s="623"/>
      <c r="BY9" s="274"/>
      <c r="BZ9" s="366">
        <f t="shared" si="5"/>
        <v>0</v>
      </c>
      <c r="CA9" s="274"/>
      <c r="CB9" s="366"/>
      <c r="CC9" s="274"/>
      <c r="CD9" s="366">
        <v>0</v>
      </c>
      <c r="CE9" s="274"/>
      <c r="CF9" s="366"/>
      <c r="CG9" s="274"/>
      <c r="CH9" s="366">
        <v>0</v>
      </c>
      <c r="CI9" s="274"/>
      <c r="CJ9" s="366"/>
      <c r="CK9" s="274"/>
      <c r="CL9" s="366">
        <v>0</v>
      </c>
      <c r="CM9" s="274"/>
      <c r="CN9" s="366"/>
      <c r="CO9" s="274"/>
      <c r="CP9" s="366">
        <f t="shared" si="6"/>
        <v>0</v>
      </c>
      <c r="CQ9" s="274"/>
      <c r="CR9" s="366"/>
      <c r="CS9" s="274"/>
      <c r="CT9" s="366">
        <v>0</v>
      </c>
      <c r="CU9" s="274"/>
      <c r="CV9" s="366">
        <v>0</v>
      </c>
      <c r="CW9" s="274"/>
      <c r="CX9" s="366">
        <f t="shared" si="7"/>
        <v>525</v>
      </c>
      <c r="CY9" s="274"/>
      <c r="CZ9" s="366">
        <f t="shared" si="8"/>
        <v>2100</v>
      </c>
    </row>
    <row r="10" spans="1:106" ht="15.75" thickBot="1" x14ac:dyDescent="0.3">
      <c r="A10" s="369"/>
      <c r="B10" s="369"/>
      <c r="C10" s="369"/>
      <c r="D10" s="369"/>
      <c r="E10" s="369" t="s">
        <v>136</v>
      </c>
      <c r="F10" s="275">
        <v>0</v>
      </c>
      <c r="G10" s="274"/>
      <c r="H10" s="632"/>
      <c r="I10" s="274"/>
      <c r="J10" s="275">
        <v>166.18</v>
      </c>
      <c r="K10" s="274"/>
      <c r="L10" s="632">
        <v>480</v>
      </c>
      <c r="M10" s="274"/>
      <c r="N10" s="275">
        <f t="shared" si="0"/>
        <v>166.18</v>
      </c>
      <c r="O10" s="274"/>
      <c r="P10" s="275">
        <f t="shared" si="1"/>
        <v>480</v>
      </c>
      <c r="Q10" s="274"/>
      <c r="R10" s="275">
        <v>0</v>
      </c>
      <c r="S10" s="274"/>
      <c r="T10" s="632"/>
      <c r="U10" s="274"/>
      <c r="V10" s="275">
        <v>0</v>
      </c>
      <c r="W10" s="274"/>
      <c r="X10" s="366"/>
      <c r="Y10" s="274"/>
      <c r="Z10" s="275">
        <v>0</v>
      </c>
      <c r="AA10" s="274"/>
      <c r="AB10" s="366"/>
      <c r="AC10" s="274"/>
      <c r="AD10" s="275">
        <v>0</v>
      </c>
      <c r="AE10" s="274"/>
      <c r="AF10" s="366"/>
      <c r="AG10" s="274"/>
      <c r="AH10" s="275">
        <f t="shared" si="2"/>
        <v>0</v>
      </c>
      <c r="AI10" s="274"/>
      <c r="AJ10" s="631"/>
      <c r="AK10" s="274"/>
      <c r="AL10" s="275">
        <v>0</v>
      </c>
      <c r="AM10" s="274"/>
      <c r="AN10" s="632"/>
      <c r="AO10" s="274"/>
      <c r="AP10" s="275">
        <v>0</v>
      </c>
      <c r="AQ10" s="274"/>
      <c r="AR10" s="633"/>
      <c r="AS10" s="274"/>
      <c r="AT10" s="275">
        <v>0</v>
      </c>
      <c r="AU10" s="274"/>
      <c r="AV10" s="275"/>
      <c r="AW10" s="274"/>
      <c r="AX10" s="275">
        <v>0</v>
      </c>
      <c r="AY10" s="274"/>
      <c r="AZ10" s="275"/>
      <c r="BA10" s="274"/>
      <c r="BB10" s="275">
        <v>0</v>
      </c>
      <c r="BC10" s="274"/>
      <c r="BD10" s="275"/>
      <c r="BE10" s="274"/>
      <c r="BF10" s="275">
        <f t="shared" si="3"/>
        <v>0</v>
      </c>
      <c r="BG10" s="274"/>
      <c r="BH10" s="632"/>
      <c r="BI10" s="274"/>
      <c r="BJ10" s="275">
        <v>0</v>
      </c>
      <c r="BK10" s="274"/>
      <c r="BL10" s="275"/>
      <c r="BM10" s="274"/>
      <c r="BN10" s="275">
        <v>0</v>
      </c>
      <c r="BO10" s="274"/>
      <c r="BP10" s="275"/>
      <c r="BQ10" s="274"/>
      <c r="BR10" s="275">
        <v>0</v>
      </c>
      <c r="BS10" s="274"/>
      <c r="BT10" s="275"/>
      <c r="BU10" s="274"/>
      <c r="BV10" s="275">
        <f t="shared" si="4"/>
        <v>0</v>
      </c>
      <c r="BW10" s="274"/>
      <c r="BX10" s="632"/>
      <c r="BY10" s="274"/>
      <c r="BZ10" s="275">
        <f t="shared" si="5"/>
        <v>0</v>
      </c>
      <c r="CA10" s="274"/>
      <c r="CB10" s="275"/>
      <c r="CC10" s="274"/>
      <c r="CD10" s="275">
        <v>0</v>
      </c>
      <c r="CE10" s="274"/>
      <c r="CF10" s="366"/>
      <c r="CG10" s="274"/>
      <c r="CH10" s="275">
        <v>0</v>
      </c>
      <c r="CI10" s="274"/>
      <c r="CJ10" s="366"/>
      <c r="CK10" s="274"/>
      <c r="CL10" s="275">
        <v>0</v>
      </c>
      <c r="CM10" s="274"/>
      <c r="CN10" s="366"/>
      <c r="CO10" s="274"/>
      <c r="CP10" s="275">
        <f t="shared" si="6"/>
        <v>0</v>
      </c>
      <c r="CQ10" s="274"/>
      <c r="CR10" s="366"/>
      <c r="CS10" s="274"/>
      <c r="CT10" s="275">
        <v>0</v>
      </c>
      <c r="CU10" s="274"/>
      <c r="CV10" s="275">
        <v>0</v>
      </c>
      <c r="CW10" s="274"/>
      <c r="CX10" s="275">
        <f t="shared" si="7"/>
        <v>166.18</v>
      </c>
      <c r="CY10" s="274"/>
      <c r="CZ10" s="275">
        <f t="shared" si="8"/>
        <v>480</v>
      </c>
    </row>
    <row r="11" spans="1:106" x14ac:dyDescent="0.25">
      <c r="A11" s="369"/>
      <c r="B11" s="369"/>
      <c r="C11" s="369"/>
      <c r="D11" s="369" t="s">
        <v>9</v>
      </c>
      <c r="E11" s="369"/>
      <c r="F11" s="366">
        <f>ROUND(SUM(F5:F10),5)</f>
        <v>0</v>
      </c>
      <c r="G11" s="274"/>
      <c r="H11" s="623">
        <f>ROUND(SUM(H5:H10),5)</f>
        <v>0</v>
      </c>
      <c r="I11" s="274"/>
      <c r="J11" s="366">
        <f>ROUND(SUM(J5:J10),5)</f>
        <v>111518.76</v>
      </c>
      <c r="K11" s="274"/>
      <c r="L11" s="623">
        <f>ROUND(SUM(L5:L10),5)</f>
        <v>194010</v>
      </c>
      <c r="M11" s="274"/>
      <c r="N11" s="366">
        <f t="shared" si="0"/>
        <v>111518.76</v>
      </c>
      <c r="O11" s="274"/>
      <c r="P11" s="366">
        <f t="shared" si="1"/>
        <v>194010</v>
      </c>
      <c r="Q11" s="274"/>
      <c r="R11" s="366">
        <f>ROUND(SUM(R5:R10),5)</f>
        <v>40030.980000000003</v>
      </c>
      <c r="S11" s="274"/>
      <c r="T11" s="623">
        <f>ROUND(SUM(T5:T10),5)</f>
        <v>73000</v>
      </c>
      <c r="U11" s="274"/>
      <c r="V11" s="366">
        <f>ROUND(SUM(V5:V10),5)</f>
        <v>0</v>
      </c>
      <c r="W11" s="274"/>
      <c r="X11" s="366"/>
      <c r="Y11" s="274"/>
      <c r="Z11" s="366">
        <f>ROUND(SUM(Z5:Z10),5)</f>
        <v>0</v>
      </c>
      <c r="AA11" s="274"/>
      <c r="AB11" s="366"/>
      <c r="AC11" s="274"/>
      <c r="AD11" s="366">
        <f>ROUND(SUM(AD5:AD10),5)</f>
        <v>0</v>
      </c>
      <c r="AE11" s="274"/>
      <c r="AF11" s="366"/>
      <c r="AG11" s="274"/>
      <c r="AH11" s="366">
        <f t="shared" si="2"/>
        <v>0</v>
      </c>
      <c r="AI11" s="274"/>
      <c r="AJ11" s="631"/>
      <c r="AK11" s="274"/>
      <c r="AL11" s="366">
        <f>ROUND(SUM(AL5:AL10),5)</f>
        <v>0</v>
      </c>
      <c r="AM11" s="274"/>
      <c r="AN11" s="623">
        <f>ROUND(SUM(AN5:AN10),5)</f>
        <v>135000</v>
      </c>
      <c r="AO11" s="274"/>
      <c r="AP11" s="366">
        <f>ROUND(SUM(AP5:AP10),5)</f>
        <v>0</v>
      </c>
      <c r="AQ11" s="274"/>
      <c r="AR11" s="631">
        <f>ROUND(SUM(AR5:AR10),5)</f>
        <v>0</v>
      </c>
      <c r="AS11" s="274"/>
      <c r="AT11" s="366">
        <f>ROUND(SUM(AT5:AT10),5)</f>
        <v>2704.76</v>
      </c>
      <c r="AU11" s="274"/>
      <c r="AV11" s="366">
        <f>ROUND(SUM(AV5:AV10),5)</f>
        <v>0</v>
      </c>
      <c r="AW11" s="274"/>
      <c r="AX11" s="366">
        <f>ROUND(SUM(AX5:AX10),5)</f>
        <v>41064.730000000003</v>
      </c>
      <c r="AY11" s="274"/>
      <c r="AZ11" s="366">
        <f>ROUND(SUM(AZ5:AZ10),5)</f>
        <v>113500</v>
      </c>
      <c r="BA11" s="274"/>
      <c r="BB11" s="366">
        <f>ROUND(SUM(BB5:BB10),5)</f>
        <v>0</v>
      </c>
      <c r="BC11" s="274"/>
      <c r="BD11" s="366">
        <f>ROUND(SUM(BD5:BD10),5)</f>
        <v>0</v>
      </c>
      <c r="BE11" s="274"/>
      <c r="BF11" s="366">
        <f t="shared" si="3"/>
        <v>43769.49</v>
      </c>
      <c r="BG11" s="274"/>
      <c r="BH11" s="623">
        <f>ROUND(AV11+AZ11+BD11,5)</f>
        <v>113500</v>
      </c>
      <c r="BI11" s="274"/>
      <c r="BJ11" s="366">
        <f>ROUND(SUM(BJ5:BJ10),5)</f>
        <v>1100</v>
      </c>
      <c r="BK11" s="274"/>
      <c r="BL11" s="366">
        <f>ROUND(SUM(BL5:BL10),5)</f>
        <v>0</v>
      </c>
      <c r="BM11" s="274"/>
      <c r="BN11" s="366">
        <f>ROUND(SUM(BN5:BN10),5)</f>
        <v>3095</v>
      </c>
      <c r="BO11" s="274"/>
      <c r="BP11" s="366">
        <f>ROUND(SUM(BP5:BP10),5)</f>
        <v>25000</v>
      </c>
      <c r="BQ11" s="274"/>
      <c r="BR11" s="366">
        <f>ROUND(SUM(BR5:BR10),5)</f>
        <v>0</v>
      </c>
      <c r="BS11" s="274"/>
      <c r="BT11" s="366">
        <f>ROUND(SUM(BT5:BT10),5)</f>
        <v>12000</v>
      </c>
      <c r="BU11" s="274"/>
      <c r="BV11" s="366">
        <f t="shared" si="4"/>
        <v>4195</v>
      </c>
      <c r="BW11" s="274"/>
      <c r="BX11" s="623">
        <f>ROUND(BL11+BP11+BT11,5)</f>
        <v>37000</v>
      </c>
      <c r="BY11" s="274"/>
      <c r="BZ11" s="366">
        <f t="shared" si="5"/>
        <v>47964.49</v>
      </c>
      <c r="CA11" s="274"/>
      <c r="CB11" s="366">
        <f>ROUND(AJ11+AN11+AR11+BH11+BX11,5)</f>
        <v>285500</v>
      </c>
      <c r="CC11" s="274"/>
      <c r="CD11" s="366">
        <f>ROUND(SUM(CD5:CD10),5)</f>
        <v>0</v>
      </c>
      <c r="CE11" s="274"/>
      <c r="CF11" s="366"/>
      <c r="CG11" s="274"/>
      <c r="CH11" s="366">
        <f>ROUND(SUM(CH5:CH10),5)</f>
        <v>0</v>
      </c>
      <c r="CI11" s="274"/>
      <c r="CJ11" s="366"/>
      <c r="CK11" s="274"/>
      <c r="CL11" s="366">
        <f>ROUND(SUM(CL5:CL10),5)</f>
        <v>0</v>
      </c>
      <c r="CM11" s="274"/>
      <c r="CN11" s="366"/>
      <c r="CO11" s="274"/>
      <c r="CP11" s="366">
        <f t="shared" si="6"/>
        <v>0</v>
      </c>
      <c r="CQ11" s="274"/>
      <c r="CR11" s="366"/>
      <c r="CS11" s="274"/>
      <c r="CT11" s="366">
        <f>ROUND(SUM(CT5:CT10),5)</f>
        <v>0</v>
      </c>
      <c r="CU11" s="274"/>
      <c r="CV11" s="366">
        <f>ROUND(SUM(CV5:CV10),5)</f>
        <v>0</v>
      </c>
      <c r="CW11" s="274"/>
      <c r="CX11" s="366">
        <f t="shared" si="7"/>
        <v>199514.23</v>
      </c>
      <c r="CY11" s="274"/>
      <c r="CZ11" s="366">
        <f t="shared" si="8"/>
        <v>552510</v>
      </c>
    </row>
    <row r="12" spans="1:106" x14ac:dyDescent="0.25">
      <c r="A12" s="369"/>
      <c r="B12" s="369"/>
      <c r="C12" s="369"/>
      <c r="D12" s="369" t="s">
        <v>137</v>
      </c>
      <c r="E12" s="369"/>
      <c r="F12" s="366"/>
      <c r="G12" s="274"/>
      <c r="H12" s="623"/>
      <c r="I12" s="274"/>
      <c r="J12" s="366"/>
      <c r="K12" s="274"/>
      <c r="L12" s="623"/>
      <c r="M12" s="274"/>
      <c r="N12" s="366"/>
      <c r="O12" s="274"/>
      <c r="P12" s="366"/>
      <c r="Q12" s="274"/>
      <c r="R12" s="366"/>
      <c r="S12" s="274"/>
      <c r="T12" s="623"/>
      <c r="U12" s="274"/>
      <c r="V12" s="366"/>
      <c r="W12" s="274"/>
      <c r="X12" s="366"/>
      <c r="Y12" s="274"/>
      <c r="Z12" s="366"/>
      <c r="AA12" s="274"/>
      <c r="AB12" s="366"/>
      <c r="AC12" s="274"/>
      <c r="AD12" s="366"/>
      <c r="AE12" s="274"/>
      <c r="AF12" s="366"/>
      <c r="AG12" s="274"/>
      <c r="AH12" s="366"/>
      <c r="AI12" s="274"/>
      <c r="AJ12" s="631"/>
      <c r="AK12" s="274"/>
      <c r="AL12" s="366"/>
      <c r="AM12" s="274"/>
      <c r="AN12" s="623"/>
      <c r="AO12" s="274"/>
      <c r="AP12" s="366"/>
      <c r="AQ12" s="274"/>
      <c r="AR12" s="631"/>
      <c r="AS12" s="274"/>
      <c r="AT12" s="366"/>
      <c r="AU12" s="274"/>
      <c r="AV12" s="366"/>
      <c r="AW12" s="274"/>
      <c r="AX12" s="366"/>
      <c r="AY12" s="274"/>
      <c r="AZ12" s="366"/>
      <c r="BA12" s="274"/>
      <c r="BB12" s="366"/>
      <c r="BC12" s="274"/>
      <c r="BD12" s="366"/>
      <c r="BE12" s="274"/>
      <c r="BF12" s="366"/>
      <c r="BG12" s="274"/>
      <c r="BH12" s="623"/>
      <c r="BI12" s="274"/>
      <c r="BJ12" s="366"/>
      <c r="BK12" s="274"/>
      <c r="BL12" s="366"/>
      <c r="BM12" s="274"/>
      <c r="BN12" s="366"/>
      <c r="BO12" s="274"/>
      <c r="BP12" s="366"/>
      <c r="BQ12" s="274"/>
      <c r="BR12" s="366"/>
      <c r="BS12" s="274"/>
      <c r="BT12" s="366"/>
      <c r="BU12" s="274"/>
      <c r="BV12" s="366"/>
      <c r="BW12" s="274"/>
      <c r="BX12" s="623"/>
      <c r="BY12" s="274"/>
      <c r="BZ12" s="366"/>
      <c r="CA12" s="274"/>
      <c r="CB12" s="366"/>
      <c r="CC12" s="274"/>
      <c r="CD12" s="366"/>
      <c r="CE12" s="274"/>
      <c r="CF12" s="366"/>
      <c r="CG12" s="274"/>
      <c r="CH12" s="366"/>
      <c r="CI12" s="274"/>
      <c r="CJ12" s="366"/>
      <c r="CK12" s="274"/>
      <c r="CL12" s="366"/>
      <c r="CM12" s="274"/>
      <c r="CN12" s="366"/>
      <c r="CO12" s="274"/>
      <c r="CP12" s="366"/>
      <c r="CQ12" s="274"/>
      <c r="CR12" s="366"/>
      <c r="CS12" s="274"/>
      <c r="CT12" s="366"/>
      <c r="CU12" s="274"/>
      <c r="CV12" s="366"/>
      <c r="CW12" s="274"/>
      <c r="CX12" s="366"/>
      <c r="CY12" s="274"/>
      <c r="CZ12" s="366"/>
    </row>
    <row r="13" spans="1:106" ht="15.75" thickBot="1" x14ac:dyDescent="0.3">
      <c r="A13" s="369"/>
      <c r="B13" s="369"/>
      <c r="C13" s="369"/>
      <c r="D13" s="369"/>
      <c r="E13" s="369" t="s">
        <v>138</v>
      </c>
      <c r="F13" s="365">
        <v>0</v>
      </c>
      <c r="G13" s="274"/>
      <c r="H13" s="623"/>
      <c r="I13" s="274"/>
      <c r="J13" s="365">
        <v>0</v>
      </c>
      <c r="K13" s="274"/>
      <c r="L13" s="623"/>
      <c r="M13" s="274"/>
      <c r="N13" s="365">
        <f>ROUND(F13+J13,5)</f>
        <v>0</v>
      </c>
      <c r="O13" s="274"/>
      <c r="P13" s="366"/>
      <c r="Q13" s="274"/>
      <c r="R13" s="365">
        <v>8.5399999999999991</v>
      </c>
      <c r="S13" s="274"/>
      <c r="T13" s="625">
        <v>0</v>
      </c>
      <c r="U13" s="274"/>
      <c r="V13" s="365">
        <v>0</v>
      </c>
      <c r="W13" s="274"/>
      <c r="X13" s="366"/>
      <c r="Y13" s="274"/>
      <c r="Z13" s="365">
        <v>0</v>
      </c>
      <c r="AA13" s="274"/>
      <c r="AB13" s="366"/>
      <c r="AC13" s="274"/>
      <c r="AD13" s="365">
        <v>0</v>
      </c>
      <c r="AE13" s="274"/>
      <c r="AF13" s="366"/>
      <c r="AG13" s="274"/>
      <c r="AH13" s="365">
        <f>ROUND(V13+Z13+AD13,5)</f>
        <v>0</v>
      </c>
      <c r="AI13" s="274"/>
      <c r="AJ13" s="631"/>
      <c r="AK13" s="274"/>
      <c r="AL13" s="365">
        <v>0</v>
      </c>
      <c r="AM13" s="274"/>
      <c r="AN13" s="623"/>
      <c r="AO13" s="274"/>
      <c r="AP13" s="365">
        <v>0</v>
      </c>
      <c r="AQ13" s="274"/>
      <c r="AR13" s="631"/>
      <c r="AS13" s="274"/>
      <c r="AT13" s="365">
        <v>0</v>
      </c>
      <c r="AU13" s="274"/>
      <c r="AV13" s="366"/>
      <c r="AW13" s="274"/>
      <c r="AX13" s="365">
        <v>0</v>
      </c>
      <c r="AY13" s="274"/>
      <c r="AZ13" s="366"/>
      <c r="BA13" s="274"/>
      <c r="BB13" s="365">
        <v>0</v>
      </c>
      <c r="BC13" s="274"/>
      <c r="BD13" s="366"/>
      <c r="BE13" s="274"/>
      <c r="BF13" s="365">
        <f>ROUND(AT13+AX13+BB13,5)</f>
        <v>0</v>
      </c>
      <c r="BG13" s="274"/>
      <c r="BH13" s="623"/>
      <c r="BI13" s="274"/>
      <c r="BJ13" s="365">
        <v>0</v>
      </c>
      <c r="BK13" s="274"/>
      <c r="BL13" s="366"/>
      <c r="BM13" s="274"/>
      <c r="BN13" s="365">
        <v>0</v>
      </c>
      <c r="BO13" s="274"/>
      <c r="BP13" s="366"/>
      <c r="BQ13" s="274"/>
      <c r="BR13" s="365">
        <v>0</v>
      </c>
      <c r="BS13" s="274"/>
      <c r="BT13" s="366"/>
      <c r="BU13" s="274"/>
      <c r="BV13" s="365">
        <f>ROUND(BJ13+BN13+BR13,5)</f>
        <v>0</v>
      </c>
      <c r="BW13" s="274"/>
      <c r="BX13" s="623"/>
      <c r="BY13" s="274"/>
      <c r="BZ13" s="365">
        <f>ROUND(AH13+AL13+AP13+BF13+BV13,5)</f>
        <v>0</v>
      </c>
      <c r="CA13" s="274"/>
      <c r="CB13" s="366"/>
      <c r="CC13" s="274"/>
      <c r="CD13" s="365">
        <v>0</v>
      </c>
      <c r="CE13" s="274"/>
      <c r="CF13" s="366"/>
      <c r="CG13" s="274"/>
      <c r="CH13" s="365">
        <v>0</v>
      </c>
      <c r="CI13" s="274"/>
      <c r="CJ13" s="366"/>
      <c r="CK13" s="274"/>
      <c r="CL13" s="365">
        <v>0</v>
      </c>
      <c r="CM13" s="274"/>
      <c r="CN13" s="366"/>
      <c r="CO13" s="274"/>
      <c r="CP13" s="365">
        <f>ROUND(CD13+CH13+CL13,5)</f>
        <v>0</v>
      </c>
      <c r="CQ13" s="274"/>
      <c r="CR13" s="366"/>
      <c r="CS13" s="274"/>
      <c r="CT13" s="365">
        <v>0</v>
      </c>
      <c r="CU13" s="274"/>
      <c r="CV13" s="365">
        <v>0</v>
      </c>
      <c r="CW13" s="274"/>
      <c r="CX13" s="365">
        <f>ROUND(N13+R13+BZ13+CP13+CT13,5)</f>
        <v>8.5399999999999991</v>
      </c>
      <c r="CY13" s="274"/>
      <c r="CZ13" s="365">
        <f>ROUND(P13+T13+CB13+CR13+CV13,5)</f>
        <v>0</v>
      </c>
    </row>
    <row r="14" spans="1:106" ht="15.75" thickBot="1" x14ac:dyDescent="0.3">
      <c r="A14" s="369"/>
      <c r="B14" s="369"/>
      <c r="C14" s="369"/>
      <c r="D14" s="369" t="s">
        <v>139</v>
      </c>
      <c r="E14" s="369"/>
      <c r="F14" s="276">
        <f>ROUND(SUM(F12:F13),5)</f>
        <v>0</v>
      </c>
      <c r="G14" s="274"/>
      <c r="H14" s="632"/>
      <c r="I14" s="274"/>
      <c r="J14" s="276">
        <f>ROUND(SUM(J12:J13),5)</f>
        <v>0</v>
      </c>
      <c r="K14" s="274"/>
      <c r="L14" s="632"/>
      <c r="M14" s="274"/>
      <c r="N14" s="276">
        <f>ROUND(F14+J14,5)</f>
        <v>0</v>
      </c>
      <c r="O14" s="274"/>
      <c r="P14" s="275"/>
      <c r="Q14" s="274"/>
      <c r="R14" s="276">
        <f>ROUND(SUM(R12:R13),5)</f>
        <v>8.5399999999999991</v>
      </c>
      <c r="S14" s="274"/>
      <c r="T14" s="634">
        <f>ROUND(SUM(T12:T13),5)</f>
        <v>0</v>
      </c>
      <c r="U14" s="274"/>
      <c r="V14" s="276">
        <f>ROUND(SUM(V12:V13),5)</f>
        <v>0</v>
      </c>
      <c r="W14" s="274"/>
      <c r="X14" s="366"/>
      <c r="Y14" s="274"/>
      <c r="Z14" s="276">
        <f>ROUND(SUM(Z12:Z13),5)</f>
        <v>0</v>
      </c>
      <c r="AA14" s="274"/>
      <c r="AB14" s="366"/>
      <c r="AC14" s="274"/>
      <c r="AD14" s="276">
        <f>ROUND(SUM(AD12:AD13),5)</f>
        <v>0</v>
      </c>
      <c r="AE14" s="274"/>
      <c r="AF14" s="366"/>
      <c r="AG14" s="274"/>
      <c r="AH14" s="276">
        <f>ROUND(V14+Z14+AD14,5)</f>
        <v>0</v>
      </c>
      <c r="AI14" s="274"/>
      <c r="AJ14" s="631"/>
      <c r="AK14" s="274"/>
      <c r="AL14" s="276">
        <f>ROUND(SUM(AL12:AL13),5)</f>
        <v>0</v>
      </c>
      <c r="AM14" s="274"/>
      <c r="AN14" s="632"/>
      <c r="AO14" s="274"/>
      <c r="AP14" s="276">
        <f>ROUND(SUM(AP12:AP13),5)</f>
        <v>0</v>
      </c>
      <c r="AQ14" s="274"/>
      <c r="AR14" s="633"/>
      <c r="AS14" s="274"/>
      <c r="AT14" s="276">
        <f>ROUND(SUM(AT12:AT13),5)</f>
        <v>0</v>
      </c>
      <c r="AU14" s="274"/>
      <c r="AV14" s="275"/>
      <c r="AW14" s="274"/>
      <c r="AX14" s="276">
        <f>ROUND(SUM(AX12:AX13),5)</f>
        <v>0</v>
      </c>
      <c r="AY14" s="274"/>
      <c r="AZ14" s="275"/>
      <c r="BA14" s="274"/>
      <c r="BB14" s="276">
        <f>ROUND(SUM(BB12:BB13),5)</f>
        <v>0</v>
      </c>
      <c r="BC14" s="274"/>
      <c r="BD14" s="275"/>
      <c r="BE14" s="274"/>
      <c r="BF14" s="276">
        <f>ROUND(AT14+AX14+BB14,5)</f>
        <v>0</v>
      </c>
      <c r="BG14" s="274"/>
      <c r="BH14" s="632"/>
      <c r="BI14" s="274"/>
      <c r="BJ14" s="276">
        <f>ROUND(SUM(BJ12:BJ13),5)</f>
        <v>0</v>
      </c>
      <c r="BK14" s="274"/>
      <c r="BL14" s="275"/>
      <c r="BM14" s="274"/>
      <c r="BN14" s="276">
        <f>ROUND(SUM(BN12:BN13),5)</f>
        <v>0</v>
      </c>
      <c r="BO14" s="274"/>
      <c r="BP14" s="275"/>
      <c r="BQ14" s="274"/>
      <c r="BR14" s="276">
        <f>ROUND(SUM(BR12:BR13),5)</f>
        <v>0</v>
      </c>
      <c r="BS14" s="274"/>
      <c r="BT14" s="275"/>
      <c r="BU14" s="274"/>
      <c r="BV14" s="276">
        <f>ROUND(BJ14+BN14+BR14,5)</f>
        <v>0</v>
      </c>
      <c r="BW14" s="274"/>
      <c r="BX14" s="632"/>
      <c r="BY14" s="274"/>
      <c r="BZ14" s="276">
        <f>ROUND(AH14+AL14+AP14+BF14+BV14,5)</f>
        <v>0</v>
      </c>
      <c r="CA14" s="274"/>
      <c r="CB14" s="275"/>
      <c r="CC14" s="274"/>
      <c r="CD14" s="276">
        <f>ROUND(SUM(CD12:CD13),5)</f>
        <v>0</v>
      </c>
      <c r="CE14" s="274"/>
      <c r="CF14" s="366"/>
      <c r="CG14" s="274"/>
      <c r="CH14" s="276">
        <f>ROUND(SUM(CH12:CH13),5)</f>
        <v>0</v>
      </c>
      <c r="CI14" s="274"/>
      <c r="CJ14" s="366"/>
      <c r="CK14" s="274"/>
      <c r="CL14" s="276">
        <f>ROUND(SUM(CL12:CL13),5)</f>
        <v>0</v>
      </c>
      <c r="CM14" s="274"/>
      <c r="CN14" s="366"/>
      <c r="CO14" s="274"/>
      <c r="CP14" s="276">
        <f>ROUND(CD14+CH14+CL14,5)</f>
        <v>0</v>
      </c>
      <c r="CQ14" s="274"/>
      <c r="CR14" s="366"/>
      <c r="CS14" s="274"/>
      <c r="CT14" s="276">
        <f>ROUND(SUM(CT12:CT13),5)</f>
        <v>0</v>
      </c>
      <c r="CU14" s="274"/>
      <c r="CV14" s="276">
        <f>ROUND(SUM(CV12:CV13),5)</f>
        <v>0</v>
      </c>
      <c r="CW14" s="274"/>
      <c r="CX14" s="276">
        <f>ROUND(N14+R14+BZ14+CP14+CT14,5)</f>
        <v>8.5399999999999991</v>
      </c>
      <c r="CY14" s="274"/>
      <c r="CZ14" s="276">
        <f>ROUND(P14+T14+CB14+CR14+CV14,5)</f>
        <v>0</v>
      </c>
    </row>
    <row r="15" spans="1:106" x14ac:dyDescent="0.25">
      <c r="A15" s="369"/>
      <c r="B15" s="369"/>
      <c r="C15" s="369" t="s">
        <v>140</v>
      </c>
      <c r="D15" s="369"/>
      <c r="E15" s="369"/>
      <c r="F15" s="366">
        <f>ROUND(F11-F14,5)</f>
        <v>0</v>
      </c>
      <c r="G15" s="274"/>
      <c r="H15" s="623">
        <f>ROUND(H11-H14,5)</f>
        <v>0</v>
      </c>
      <c r="I15" s="274"/>
      <c r="J15" s="366">
        <f>ROUND(J11-J14,5)</f>
        <v>111518.76</v>
      </c>
      <c r="K15" s="274"/>
      <c r="L15" s="623">
        <f>ROUND(L11-L14,5)</f>
        <v>194010</v>
      </c>
      <c r="M15" s="274"/>
      <c r="N15" s="366">
        <f>ROUND(F15+J15,5)</f>
        <v>111518.76</v>
      </c>
      <c r="O15" s="274"/>
      <c r="P15" s="366">
        <f>ROUND(H15+L15,5)</f>
        <v>194010</v>
      </c>
      <c r="Q15" s="274"/>
      <c r="R15" s="366">
        <f>ROUND(R11-R14,5)</f>
        <v>40022.44</v>
      </c>
      <c r="S15" s="274"/>
      <c r="T15" s="623">
        <f>ROUND(T11-T14,5)</f>
        <v>73000</v>
      </c>
      <c r="U15" s="274"/>
      <c r="V15" s="366">
        <f>ROUND(V11-V14,5)</f>
        <v>0</v>
      </c>
      <c r="W15" s="274"/>
      <c r="X15" s="366"/>
      <c r="Y15" s="274"/>
      <c r="Z15" s="366">
        <f>ROUND(Z11-Z14,5)</f>
        <v>0</v>
      </c>
      <c r="AA15" s="274"/>
      <c r="AB15" s="366"/>
      <c r="AC15" s="274"/>
      <c r="AD15" s="366">
        <f>ROUND(AD11-AD14,5)</f>
        <v>0</v>
      </c>
      <c r="AE15" s="274"/>
      <c r="AF15" s="366"/>
      <c r="AG15" s="274"/>
      <c r="AH15" s="366">
        <f>ROUND(V15+Z15+AD15,5)</f>
        <v>0</v>
      </c>
      <c r="AI15" s="274"/>
      <c r="AJ15" s="631"/>
      <c r="AK15" s="274"/>
      <c r="AL15" s="366">
        <f>ROUND(AL11-AL14,5)</f>
        <v>0</v>
      </c>
      <c r="AM15" s="274"/>
      <c r="AN15" s="623">
        <f>ROUND(AN11-AN14,5)</f>
        <v>135000</v>
      </c>
      <c r="AO15" s="274"/>
      <c r="AP15" s="366">
        <f>ROUND(AP11-AP14,5)</f>
        <v>0</v>
      </c>
      <c r="AQ15" s="274"/>
      <c r="AR15" s="631">
        <f>ROUND(AR11-AR14,5)</f>
        <v>0</v>
      </c>
      <c r="AS15" s="274"/>
      <c r="AT15" s="366">
        <f>ROUND(AT11-AT14,5)</f>
        <v>2704.76</v>
      </c>
      <c r="AU15" s="274"/>
      <c r="AV15" s="366">
        <f>ROUND(AV11-AV14,5)</f>
        <v>0</v>
      </c>
      <c r="AW15" s="274"/>
      <c r="AX15" s="366">
        <f>ROUND(AX11-AX14,5)</f>
        <v>41064.730000000003</v>
      </c>
      <c r="AY15" s="274"/>
      <c r="AZ15" s="366">
        <f>ROUND(AZ11-AZ14,5)</f>
        <v>113500</v>
      </c>
      <c r="BA15" s="274"/>
      <c r="BB15" s="366">
        <f>ROUND(BB11-BB14,5)</f>
        <v>0</v>
      </c>
      <c r="BC15" s="274"/>
      <c r="BD15" s="366">
        <f>ROUND(BD11-BD14,5)</f>
        <v>0</v>
      </c>
      <c r="BE15" s="274"/>
      <c r="BF15" s="366">
        <f>ROUND(AT15+AX15+BB15,5)</f>
        <v>43769.49</v>
      </c>
      <c r="BG15" s="274"/>
      <c r="BH15" s="623">
        <f>ROUND(AV15+AZ15+BD15,5)</f>
        <v>113500</v>
      </c>
      <c r="BI15" s="274"/>
      <c r="BJ15" s="366">
        <f>ROUND(BJ11-BJ14,5)</f>
        <v>1100</v>
      </c>
      <c r="BK15" s="274"/>
      <c r="BL15" s="366">
        <f>ROUND(BL11-BL14,5)</f>
        <v>0</v>
      </c>
      <c r="BM15" s="274"/>
      <c r="BN15" s="366">
        <f>ROUND(BN11-BN14,5)</f>
        <v>3095</v>
      </c>
      <c r="BO15" s="274"/>
      <c r="BP15" s="366">
        <f>ROUND(BP11-BP14,5)</f>
        <v>25000</v>
      </c>
      <c r="BQ15" s="274"/>
      <c r="BR15" s="366">
        <f>ROUND(BR11-BR14,5)</f>
        <v>0</v>
      </c>
      <c r="BS15" s="274"/>
      <c r="BT15" s="366">
        <f>ROUND(BT11-BT14,5)</f>
        <v>12000</v>
      </c>
      <c r="BU15" s="274"/>
      <c r="BV15" s="366">
        <f>ROUND(BJ15+BN15+BR15,5)</f>
        <v>4195</v>
      </c>
      <c r="BW15" s="274"/>
      <c r="BX15" s="623">
        <f>ROUND(BL15+BP15+BT15,5)</f>
        <v>37000</v>
      </c>
      <c r="BY15" s="274"/>
      <c r="BZ15" s="366">
        <f>ROUND(AH15+AL15+AP15+BF15+BV15,5)</f>
        <v>47964.49</v>
      </c>
      <c r="CA15" s="274"/>
      <c r="CB15" s="366">
        <f>ROUND(AJ15+AN15+AR15+BH15+BX15,5)</f>
        <v>285500</v>
      </c>
      <c r="CC15" s="274"/>
      <c r="CD15" s="366">
        <f>ROUND(CD11-CD14,5)</f>
        <v>0</v>
      </c>
      <c r="CE15" s="274"/>
      <c r="CF15" s="366"/>
      <c r="CG15" s="274"/>
      <c r="CH15" s="366">
        <f>ROUND(CH11-CH14,5)</f>
        <v>0</v>
      </c>
      <c r="CI15" s="274"/>
      <c r="CJ15" s="366"/>
      <c r="CK15" s="274"/>
      <c r="CL15" s="366">
        <f>ROUND(CL11-CL14,5)</f>
        <v>0</v>
      </c>
      <c r="CM15" s="274"/>
      <c r="CN15" s="366"/>
      <c r="CO15" s="274"/>
      <c r="CP15" s="366">
        <f>ROUND(CD15+CH15+CL15,5)</f>
        <v>0</v>
      </c>
      <c r="CQ15" s="274"/>
      <c r="CR15" s="366"/>
      <c r="CS15" s="274"/>
      <c r="CT15" s="366">
        <f>ROUND(CT11-CT14,5)</f>
        <v>0</v>
      </c>
      <c r="CU15" s="274"/>
      <c r="CV15" s="366">
        <f>ROUND(CV11-CV14,5)</f>
        <v>0</v>
      </c>
      <c r="CW15" s="274"/>
      <c r="CX15" s="366">
        <f>ROUND(N15+R15+BZ15+CP15+CT15,5)</f>
        <v>199505.69</v>
      </c>
      <c r="CY15" s="274"/>
      <c r="CZ15" s="366">
        <f>ROUND(P15+T15+CB15+CR15+CV15,5)</f>
        <v>552510</v>
      </c>
    </row>
    <row r="16" spans="1:106" x14ac:dyDescent="0.25">
      <c r="A16" s="369"/>
      <c r="B16" s="369"/>
      <c r="C16" s="369"/>
      <c r="D16" s="369" t="s">
        <v>141</v>
      </c>
      <c r="E16" s="369"/>
      <c r="F16" s="366"/>
      <c r="G16" s="274"/>
      <c r="H16" s="623"/>
      <c r="I16" s="274"/>
      <c r="J16" s="366"/>
      <c r="K16" s="274"/>
      <c r="L16" s="623"/>
      <c r="M16" s="274"/>
      <c r="N16" s="366"/>
      <c r="O16" s="274"/>
      <c r="P16" s="366"/>
      <c r="Q16" s="274"/>
      <c r="R16" s="366"/>
      <c r="S16" s="274"/>
      <c r="T16" s="623"/>
      <c r="U16" s="274"/>
      <c r="V16" s="366"/>
      <c r="W16" s="274"/>
      <c r="X16" s="366"/>
      <c r="Y16" s="274"/>
      <c r="Z16" s="366"/>
      <c r="AA16" s="274"/>
      <c r="AB16" s="366"/>
      <c r="AC16" s="274"/>
      <c r="AD16" s="366"/>
      <c r="AE16" s="274"/>
      <c r="AF16" s="366"/>
      <c r="AG16" s="274"/>
      <c r="AH16" s="366"/>
      <c r="AI16" s="274"/>
      <c r="AJ16" s="631"/>
      <c r="AK16" s="274"/>
      <c r="AL16" s="366"/>
      <c r="AM16" s="274"/>
      <c r="AN16" s="623"/>
      <c r="AO16" s="274"/>
      <c r="AP16" s="366"/>
      <c r="AQ16" s="274"/>
      <c r="AR16" s="631"/>
      <c r="AS16" s="274"/>
      <c r="AT16" s="366"/>
      <c r="AU16" s="274"/>
      <c r="AV16" s="366"/>
      <c r="AW16" s="274"/>
      <c r="AX16" s="366"/>
      <c r="AY16" s="274"/>
      <c r="AZ16" s="366"/>
      <c r="BA16" s="274"/>
      <c r="BB16" s="366"/>
      <c r="BC16" s="274"/>
      <c r="BD16" s="366"/>
      <c r="BE16" s="274"/>
      <c r="BF16" s="366"/>
      <c r="BG16" s="274"/>
      <c r="BH16" s="623"/>
      <c r="BI16" s="274"/>
      <c r="BJ16" s="366"/>
      <c r="BK16" s="274"/>
      <c r="BL16" s="366"/>
      <c r="BM16" s="274"/>
      <c r="BN16" s="366"/>
      <c r="BO16" s="274"/>
      <c r="BP16" s="366"/>
      <c r="BQ16" s="274"/>
      <c r="BR16" s="366"/>
      <c r="BS16" s="274"/>
      <c r="BT16" s="366"/>
      <c r="BU16" s="274"/>
      <c r="BV16" s="366"/>
      <c r="BW16" s="274"/>
      <c r="BX16" s="623"/>
      <c r="BY16" s="274"/>
      <c r="BZ16" s="366"/>
      <c r="CA16" s="274"/>
      <c r="CB16" s="366"/>
      <c r="CC16" s="274"/>
      <c r="CD16" s="366"/>
      <c r="CE16" s="274"/>
      <c r="CF16" s="366"/>
      <c r="CG16" s="274"/>
      <c r="CH16" s="366"/>
      <c r="CI16" s="274"/>
      <c r="CJ16" s="366"/>
      <c r="CK16" s="274"/>
      <c r="CL16" s="366"/>
      <c r="CM16" s="274"/>
      <c r="CN16" s="366"/>
      <c r="CO16" s="274"/>
      <c r="CP16" s="366"/>
      <c r="CQ16" s="274"/>
      <c r="CR16" s="366"/>
      <c r="CS16" s="274"/>
      <c r="CT16" s="366"/>
      <c r="CU16" s="274"/>
      <c r="CV16" s="366"/>
      <c r="CW16" s="274"/>
      <c r="CX16" s="366"/>
      <c r="CY16" s="274"/>
      <c r="CZ16" s="366"/>
    </row>
    <row r="17" spans="1:106" x14ac:dyDescent="0.25">
      <c r="A17" s="369"/>
      <c r="B17" s="369"/>
      <c r="C17" s="369"/>
      <c r="D17" s="369"/>
      <c r="E17" s="369" t="s">
        <v>142</v>
      </c>
      <c r="F17" s="366">
        <v>2563.29</v>
      </c>
      <c r="G17" s="274"/>
      <c r="H17" s="623">
        <v>9483</v>
      </c>
      <c r="I17" s="274"/>
      <c r="J17" s="366">
        <v>6300.89</v>
      </c>
      <c r="K17" s="274"/>
      <c r="L17" s="623">
        <v>24342</v>
      </c>
      <c r="M17" s="274"/>
      <c r="N17" s="366">
        <f t="shared" ref="N17:N37" si="9">ROUND(F17+J17,5)</f>
        <v>8864.18</v>
      </c>
      <c r="O17" s="274"/>
      <c r="P17" s="366">
        <f t="shared" ref="P17:P32" si="10">ROUND(H17+L17,5)</f>
        <v>33825</v>
      </c>
      <c r="Q17" s="274"/>
      <c r="R17" s="366">
        <v>8135.63</v>
      </c>
      <c r="S17" s="274"/>
      <c r="T17" s="623">
        <v>27763</v>
      </c>
      <c r="U17" s="274"/>
      <c r="V17" s="366">
        <v>1171.6600000000001</v>
      </c>
      <c r="W17" s="274"/>
      <c r="X17" s="366">
        <v>4627</v>
      </c>
      <c r="Y17" s="274"/>
      <c r="Z17" s="366">
        <v>0</v>
      </c>
      <c r="AA17" s="274"/>
      <c r="AB17" s="366">
        <v>0</v>
      </c>
      <c r="AC17" s="274"/>
      <c r="AD17" s="366">
        <v>0</v>
      </c>
      <c r="AE17" s="274"/>
      <c r="AF17" s="366">
        <v>0</v>
      </c>
      <c r="AG17" s="274"/>
      <c r="AH17" s="366">
        <f t="shared" ref="AH17:AH37" si="11">ROUND(V17+Z17+AD17,5)</f>
        <v>1171.6600000000001</v>
      </c>
      <c r="AI17" s="274"/>
      <c r="AJ17" s="631">
        <f>ROUND(X17+AB17+AF17,5)</f>
        <v>4627</v>
      </c>
      <c r="AK17" s="274"/>
      <c r="AL17" s="366">
        <v>6005.13</v>
      </c>
      <c r="AM17" s="274"/>
      <c r="AN17" s="623">
        <v>22801</v>
      </c>
      <c r="AO17" s="274"/>
      <c r="AP17" s="366">
        <v>442.72</v>
      </c>
      <c r="AQ17" s="274"/>
      <c r="AR17" s="631">
        <v>3611</v>
      </c>
      <c r="AS17" s="274"/>
      <c r="AT17" s="366">
        <v>0</v>
      </c>
      <c r="AU17" s="274"/>
      <c r="AV17" s="366">
        <v>0</v>
      </c>
      <c r="AW17" s="274"/>
      <c r="AX17" s="366">
        <v>10765.72</v>
      </c>
      <c r="AY17" s="274"/>
      <c r="AZ17" s="366">
        <v>49385</v>
      </c>
      <c r="BA17" s="274"/>
      <c r="BB17" s="366">
        <v>0</v>
      </c>
      <c r="BC17" s="274"/>
      <c r="BD17" s="366"/>
      <c r="BE17" s="274"/>
      <c r="BF17" s="366">
        <f t="shared" ref="BF17:BF37" si="12">ROUND(AT17+AX17+BB17,5)</f>
        <v>10765.72</v>
      </c>
      <c r="BG17" s="274"/>
      <c r="BH17" s="623">
        <f>ROUND(AV17+AZ17+BD17,5)</f>
        <v>49385</v>
      </c>
      <c r="BI17" s="274"/>
      <c r="BJ17" s="366">
        <v>0</v>
      </c>
      <c r="BK17" s="274"/>
      <c r="BL17" s="366">
        <v>0</v>
      </c>
      <c r="BM17" s="274"/>
      <c r="BN17" s="366">
        <v>10295.19</v>
      </c>
      <c r="BO17" s="274"/>
      <c r="BP17" s="366">
        <v>41640</v>
      </c>
      <c r="BQ17" s="274"/>
      <c r="BR17" s="366">
        <v>29663.31</v>
      </c>
      <c r="BS17" s="274"/>
      <c r="BT17" s="366">
        <v>103967</v>
      </c>
      <c r="BU17" s="274"/>
      <c r="BV17" s="366">
        <f t="shared" ref="BV17:BV37" si="13">ROUND(BJ17+BN17+BR17,5)</f>
        <v>39958.5</v>
      </c>
      <c r="BW17" s="274"/>
      <c r="BX17" s="623">
        <f>ROUND(BL17+BP17+BT17,5)</f>
        <v>145607</v>
      </c>
      <c r="BY17" s="274"/>
      <c r="BZ17" s="366">
        <f t="shared" ref="BZ17:BZ37" si="14">ROUND(AH17+AL17+AP17+BF17+BV17,5)</f>
        <v>58343.73</v>
      </c>
      <c r="CA17" s="274"/>
      <c r="CB17" s="366">
        <f>ROUND(AJ17+AN17+AR17+BH17+BX17,5)</f>
        <v>226031</v>
      </c>
      <c r="CC17" s="274"/>
      <c r="CD17" s="366">
        <v>0</v>
      </c>
      <c r="CE17" s="274"/>
      <c r="CF17" s="366"/>
      <c r="CG17" s="274"/>
      <c r="CH17" s="366">
        <v>0</v>
      </c>
      <c r="CI17" s="274"/>
      <c r="CJ17" s="366">
        <v>0</v>
      </c>
      <c r="CK17" s="274"/>
      <c r="CL17" s="366">
        <v>0</v>
      </c>
      <c r="CM17" s="274"/>
      <c r="CN17" s="366"/>
      <c r="CO17" s="274"/>
      <c r="CP17" s="366">
        <f t="shared" ref="CP17:CP37" si="15">ROUND(CD17+CH17+CL17,5)</f>
        <v>0</v>
      </c>
      <c r="CQ17" s="274"/>
      <c r="CR17" s="366">
        <f>ROUND(CF17+CJ17+CN17,5)</f>
        <v>0</v>
      </c>
      <c r="CS17" s="274"/>
      <c r="CT17" s="366">
        <v>0</v>
      </c>
      <c r="CU17" s="274"/>
      <c r="CV17" s="366">
        <v>0</v>
      </c>
      <c r="CW17" s="274"/>
      <c r="CX17" s="366">
        <f t="shared" ref="CX17:CX37" si="16">ROUND(N17+R17+BZ17+CP17+CT17,5)</f>
        <v>75343.539999999994</v>
      </c>
      <c r="CY17" s="274"/>
      <c r="CZ17" s="366">
        <f t="shared" ref="CZ17:CZ37" si="17">ROUND(P17+T17+CB17+CR17+CV17,5)</f>
        <v>287619</v>
      </c>
      <c r="DA17" s="300">
        <f>289107-CZ17</f>
        <v>1488</v>
      </c>
      <c r="DB17" s="618">
        <f>+AR17+AJ17</f>
        <v>8238</v>
      </c>
    </row>
    <row r="18" spans="1:106" x14ac:dyDescent="0.25">
      <c r="A18" s="369"/>
      <c r="B18" s="369"/>
      <c r="C18" s="369"/>
      <c r="D18" s="369"/>
      <c r="E18" s="369" t="s">
        <v>143</v>
      </c>
      <c r="F18" s="366">
        <v>0</v>
      </c>
      <c r="G18" s="274"/>
      <c r="H18" s="623"/>
      <c r="I18" s="274"/>
      <c r="J18" s="366">
        <v>0</v>
      </c>
      <c r="K18" s="274"/>
      <c r="L18" s="623">
        <v>1800</v>
      </c>
      <c r="M18" s="274"/>
      <c r="N18" s="366">
        <f t="shared" si="9"/>
        <v>0</v>
      </c>
      <c r="O18" s="274"/>
      <c r="P18" s="366">
        <f t="shared" si="10"/>
        <v>1800</v>
      </c>
      <c r="Q18" s="274"/>
      <c r="R18" s="366">
        <v>0</v>
      </c>
      <c r="S18" s="274"/>
      <c r="T18" s="623"/>
      <c r="U18" s="274"/>
      <c r="V18" s="366">
        <v>0</v>
      </c>
      <c r="W18" s="274"/>
      <c r="X18" s="366"/>
      <c r="Y18" s="274"/>
      <c r="Z18" s="366">
        <v>0</v>
      </c>
      <c r="AA18" s="274"/>
      <c r="AB18" s="366"/>
      <c r="AC18" s="274"/>
      <c r="AD18" s="366">
        <v>0</v>
      </c>
      <c r="AE18" s="274"/>
      <c r="AF18" s="366"/>
      <c r="AG18" s="274"/>
      <c r="AH18" s="366">
        <f t="shared" si="11"/>
        <v>0</v>
      </c>
      <c r="AI18" s="274"/>
      <c r="AJ18" s="631"/>
      <c r="AK18" s="274"/>
      <c r="AL18" s="366">
        <v>0</v>
      </c>
      <c r="AM18" s="274"/>
      <c r="AN18" s="623"/>
      <c r="AO18" s="274"/>
      <c r="AP18" s="366">
        <v>0</v>
      </c>
      <c r="AQ18" s="274"/>
      <c r="AR18" s="631"/>
      <c r="AS18" s="274"/>
      <c r="AT18" s="366">
        <v>0</v>
      </c>
      <c r="AU18" s="274"/>
      <c r="AV18" s="366"/>
      <c r="AW18" s="274"/>
      <c r="AX18" s="366">
        <v>0</v>
      </c>
      <c r="AY18" s="274"/>
      <c r="AZ18" s="366"/>
      <c r="BA18" s="274"/>
      <c r="BB18" s="366">
        <v>0</v>
      </c>
      <c r="BC18" s="274"/>
      <c r="BD18" s="366"/>
      <c r="BE18" s="274"/>
      <c r="BF18" s="366">
        <f t="shared" si="12"/>
        <v>0</v>
      </c>
      <c r="BG18" s="274"/>
      <c r="BH18" s="623"/>
      <c r="BI18" s="274"/>
      <c r="BJ18" s="366">
        <v>0</v>
      </c>
      <c r="BK18" s="274"/>
      <c r="BL18" s="366"/>
      <c r="BM18" s="274"/>
      <c r="BN18" s="366">
        <v>0</v>
      </c>
      <c r="BO18" s="274"/>
      <c r="BP18" s="366"/>
      <c r="BQ18" s="274"/>
      <c r="BR18" s="366">
        <v>0</v>
      </c>
      <c r="BS18" s="274"/>
      <c r="BT18" s="366"/>
      <c r="BU18" s="274"/>
      <c r="BV18" s="366">
        <f t="shared" si="13"/>
        <v>0</v>
      </c>
      <c r="BW18" s="274"/>
      <c r="BX18" s="623"/>
      <c r="BY18" s="274"/>
      <c r="BZ18" s="366">
        <f t="shared" si="14"/>
        <v>0</v>
      </c>
      <c r="CA18" s="274"/>
      <c r="CB18" s="366"/>
      <c r="CC18" s="274"/>
      <c r="CD18" s="366">
        <v>0</v>
      </c>
      <c r="CE18" s="274"/>
      <c r="CF18" s="366"/>
      <c r="CG18" s="274"/>
      <c r="CH18" s="366">
        <v>0</v>
      </c>
      <c r="CI18" s="274"/>
      <c r="CJ18" s="366"/>
      <c r="CK18" s="274"/>
      <c r="CL18" s="366">
        <v>0</v>
      </c>
      <c r="CM18" s="274"/>
      <c r="CN18" s="366"/>
      <c r="CO18" s="274"/>
      <c r="CP18" s="366">
        <f t="shared" si="15"/>
        <v>0</v>
      </c>
      <c r="CQ18" s="274"/>
      <c r="CR18" s="366"/>
      <c r="CS18" s="274"/>
      <c r="CT18" s="366">
        <v>0</v>
      </c>
      <c r="CU18" s="274"/>
      <c r="CV18" s="366">
        <v>0</v>
      </c>
      <c r="CW18" s="274"/>
      <c r="CX18" s="366">
        <f t="shared" si="16"/>
        <v>0</v>
      </c>
      <c r="CY18" s="274"/>
      <c r="CZ18" s="366">
        <f t="shared" si="17"/>
        <v>1800</v>
      </c>
      <c r="DB18" s="618">
        <f t="shared" ref="DB18:DB37" si="18">+AR18+AJ18</f>
        <v>0</v>
      </c>
    </row>
    <row r="19" spans="1:106" x14ac:dyDescent="0.25">
      <c r="A19" s="369"/>
      <c r="B19" s="369"/>
      <c r="C19" s="369"/>
      <c r="D19" s="369"/>
      <c r="E19" s="369" t="s">
        <v>144</v>
      </c>
      <c r="F19" s="366">
        <v>0</v>
      </c>
      <c r="G19" s="274"/>
      <c r="H19" s="623"/>
      <c r="I19" s="274"/>
      <c r="J19" s="366">
        <v>176.49</v>
      </c>
      <c r="K19" s="274"/>
      <c r="L19" s="623">
        <v>4800</v>
      </c>
      <c r="M19" s="274"/>
      <c r="N19" s="366">
        <f t="shared" si="9"/>
        <v>176.49</v>
      </c>
      <c r="O19" s="274"/>
      <c r="P19" s="366">
        <f t="shared" si="10"/>
        <v>4800</v>
      </c>
      <c r="Q19" s="274"/>
      <c r="R19" s="366">
        <v>1315.72</v>
      </c>
      <c r="S19" s="274"/>
      <c r="T19" s="623">
        <v>0</v>
      </c>
      <c r="U19" s="274"/>
      <c r="V19" s="366">
        <v>0</v>
      </c>
      <c r="W19" s="274"/>
      <c r="X19" s="366"/>
      <c r="Y19" s="274"/>
      <c r="Z19" s="366">
        <v>0</v>
      </c>
      <c r="AA19" s="274"/>
      <c r="AB19" s="366"/>
      <c r="AC19" s="274"/>
      <c r="AD19" s="366">
        <v>0</v>
      </c>
      <c r="AE19" s="274"/>
      <c r="AF19" s="366"/>
      <c r="AG19" s="274"/>
      <c r="AH19" s="366">
        <f t="shared" si="11"/>
        <v>0</v>
      </c>
      <c r="AI19" s="274"/>
      <c r="AJ19" s="631"/>
      <c r="AK19" s="274"/>
      <c r="AL19" s="366">
        <v>0</v>
      </c>
      <c r="AM19" s="274"/>
      <c r="AN19" s="623">
        <v>3600</v>
      </c>
      <c r="AO19" s="274"/>
      <c r="AP19" s="366">
        <v>0</v>
      </c>
      <c r="AQ19" s="274"/>
      <c r="AR19" s="631"/>
      <c r="AS19" s="274"/>
      <c r="AT19" s="366">
        <v>0</v>
      </c>
      <c r="AU19" s="274"/>
      <c r="AV19" s="366">
        <v>0</v>
      </c>
      <c r="AW19" s="274"/>
      <c r="AX19" s="366">
        <v>302.7</v>
      </c>
      <c r="AY19" s="274"/>
      <c r="AZ19" s="366">
        <v>0</v>
      </c>
      <c r="BA19" s="274"/>
      <c r="BB19" s="366">
        <v>0</v>
      </c>
      <c r="BC19" s="274"/>
      <c r="BD19" s="366"/>
      <c r="BE19" s="274"/>
      <c r="BF19" s="366">
        <f t="shared" si="12"/>
        <v>302.7</v>
      </c>
      <c r="BG19" s="274"/>
      <c r="BH19" s="623">
        <f>ROUND(AV19+AZ19+BD19,5)</f>
        <v>0</v>
      </c>
      <c r="BI19" s="274"/>
      <c r="BJ19" s="366">
        <v>0</v>
      </c>
      <c r="BK19" s="274"/>
      <c r="BL19" s="366"/>
      <c r="BM19" s="274"/>
      <c r="BN19" s="366">
        <v>0</v>
      </c>
      <c r="BO19" s="274"/>
      <c r="BP19" s="366">
        <v>0</v>
      </c>
      <c r="BQ19" s="274"/>
      <c r="BR19" s="366">
        <v>0</v>
      </c>
      <c r="BS19" s="274"/>
      <c r="BT19" s="366"/>
      <c r="BU19" s="274"/>
      <c r="BV19" s="366">
        <f t="shared" si="13"/>
        <v>0</v>
      </c>
      <c r="BW19" s="274"/>
      <c r="BX19" s="623">
        <f t="shared" ref="BX19:BX29" si="19">ROUND(BL19+BP19+BT19,5)</f>
        <v>0</v>
      </c>
      <c r="BY19" s="274"/>
      <c r="BZ19" s="366">
        <f t="shared" si="14"/>
        <v>302.7</v>
      </c>
      <c r="CA19" s="274"/>
      <c r="CB19" s="366">
        <f t="shared" ref="CB19:CB29" si="20">ROUND(AJ19+AN19+AR19+BH19+BX19,5)</f>
        <v>3600</v>
      </c>
      <c r="CC19" s="274"/>
      <c r="CD19" s="366">
        <v>0</v>
      </c>
      <c r="CE19" s="274"/>
      <c r="CF19" s="366"/>
      <c r="CG19" s="274"/>
      <c r="CH19" s="366">
        <v>0</v>
      </c>
      <c r="CI19" s="274"/>
      <c r="CJ19" s="366"/>
      <c r="CK19" s="274"/>
      <c r="CL19" s="366">
        <v>0</v>
      </c>
      <c r="CM19" s="274"/>
      <c r="CN19" s="366"/>
      <c r="CO19" s="274"/>
      <c r="CP19" s="366">
        <f t="shared" si="15"/>
        <v>0</v>
      </c>
      <c r="CQ19" s="274"/>
      <c r="CR19" s="366"/>
      <c r="CS19" s="274"/>
      <c r="CT19" s="366">
        <v>0</v>
      </c>
      <c r="CU19" s="274"/>
      <c r="CV19" s="366">
        <v>0</v>
      </c>
      <c r="CW19" s="274"/>
      <c r="CX19" s="366">
        <f t="shared" si="16"/>
        <v>1794.91</v>
      </c>
      <c r="CY19" s="274"/>
      <c r="CZ19" s="366">
        <f t="shared" si="17"/>
        <v>8400</v>
      </c>
      <c r="DB19" s="618">
        <f t="shared" si="18"/>
        <v>0</v>
      </c>
    </row>
    <row r="20" spans="1:106" x14ac:dyDescent="0.25">
      <c r="A20" s="369"/>
      <c r="B20" s="369"/>
      <c r="C20" s="369"/>
      <c r="D20" s="369"/>
      <c r="E20" s="369" t="s">
        <v>145</v>
      </c>
      <c r="F20" s="366">
        <v>0</v>
      </c>
      <c r="G20" s="274"/>
      <c r="H20" s="623"/>
      <c r="I20" s="274"/>
      <c r="J20" s="366">
        <v>0</v>
      </c>
      <c r="K20" s="274"/>
      <c r="L20" s="623">
        <v>0</v>
      </c>
      <c r="M20" s="274"/>
      <c r="N20" s="366">
        <f t="shared" si="9"/>
        <v>0</v>
      </c>
      <c r="O20" s="274"/>
      <c r="P20" s="366">
        <f t="shared" si="10"/>
        <v>0</v>
      </c>
      <c r="Q20" s="274"/>
      <c r="R20" s="366">
        <v>0</v>
      </c>
      <c r="S20" s="274"/>
      <c r="T20" s="623"/>
      <c r="U20" s="274"/>
      <c r="V20" s="366">
        <v>0</v>
      </c>
      <c r="W20" s="274"/>
      <c r="X20" s="366"/>
      <c r="Y20" s="274"/>
      <c r="Z20" s="366">
        <v>0</v>
      </c>
      <c r="AA20" s="274"/>
      <c r="AB20" s="366"/>
      <c r="AC20" s="274"/>
      <c r="AD20" s="366">
        <v>0</v>
      </c>
      <c r="AE20" s="274"/>
      <c r="AF20" s="366"/>
      <c r="AG20" s="274"/>
      <c r="AH20" s="366">
        <f t="shared" si="11"/>
        <v>0</v>
      </c>
      <c r="AI20" s="274"/>
      <c r="AJ20" s="631"/>
      <c r="AK20" s="274"/>
      <c r="AL20" s="366">
        <v>0</v>
      </c>
      <c r="AM20" s="274"/>
      <c r="AN20" s="623"/>
      <c r="AO20" s="274"/>
      <c r="AP20" s="366">
        <v>0</v>
      </c>
      <c r="AQ20" s="274"/>
      <c r="AR20" s="631"/>
      <c r="AS20" s="274"/>
      <c r="AT20" s="366">
        <v>0</v>
      </c>
      <c r="AU20" s="274"/>
      <c r="AV20" s="366"/>
      <c r="AW20" s="274"/>
      <c r="AX20" s="366">
        <v>0</v>
      </c>
      <c r="AY20" s="274"/>
      <c r="AZ20" s="366"/>
      <c r="BA20" s="274"/>
      <c r="BB20" s="366">
        <v>0</v>
      </c>
      <c r="BC20" s="274"/>
      <c r="BD20" s="366"/>
      <c r="BE20" s="274"/>
      <c r="BF20" s="366">
        <f t="shared" si="12"/>
        <v>0</v>
      </c>
      <c r="BG20" s="274"/>
      <c r="BH20" s="623"/>
      <c r="BI20" s="274"/>
      <c r="BJ20" s="366">
        <v>4640.08</v>
      </c>
      <c r="BK20" s="274"/>
      <c r="BL20" s="366">
        <v>0</v>
      </c>
      <c r="BM20" s="274"/>
      <c r="BN20" s="366">
        <v>0</v>
      </c>
      <c r="BO20" s="274"/>
      <c r="BP20" s="366"/>
      <c r="BQ20" s="274"/>
      <c r="BR20" s="366">
        <v>0</v>
      </c>
      <c r="BS20" s="274"/>
      <c r="BT20" s="366"/>
      <c r="BU20" s="274"/>
      <c r="BV20" s="366">
        <f t="shared" si="13"/>
        <v>4640.08</v>
      </c>
      <c r="BW20" s="274"/>
      <c r="BX20" s="623">
        <f t="shared" si="19"/>
        <v>0</v>
      </c>
      <c r="BY20" s="274"/>
      <c r="BZ20" s="366">
        <f t="shared" si="14"/>
        <v>4640.08</v>
      </c>
      <c r="CA20" s="274"/>
      <c r="CB20" s="366">
        <f t="shared" si="20"/>
        <v>0</v>
      </c>
      <c r="CC20" s="274"/>
      <c r="CD20" s="366">
        <v>0</v>
      </c>
      <c r="CE20" s="274"/>
      <c r="CF20" s="366"/>
      <c r="CG20" s="274"/>
      <c r="CH20" s="366">
        <v>0</v>
      </c>
      <c r="CI20" s="274"/>
      <c r="CJ20" s="366"/>
      <c r="CK20" s="274"/>
      <c r="CL20" s="366">
        <v>0</v>
      </c>
      <c r="CM20" s="274"/>
      <c r="CN20" s="366"/>
      <c r="CO20" s="274"/>
      <c r="CP20" s="366">
        <f t="shared" si="15"/>
        <v>0</v>
      </c>
      <c r="CQ20" s="274"/>
      <c r="CR20" s="366"/>
      <c r="CS20" s="274"/>
      <c r="CT20" s="366">
        <v>0</v>
      </c>
      <c r="CU20" s="274"/>
      <c r="CV20" s="366">
        <v>0</v>
      </c>
      <c r="CW20" s="274"/>
      <c r="CX20" s="366">
        <f t="shared" si="16"/>
        <v>4640.08</v>
      </c>
      <c r="CY20" s="274"/>
      <c r="CZ20" s="366">
        <f t="shared" si="17"/>
        <v>0</v>
      </c>
      <c r="DB20" s="618">
        <f t="shared" si="18"/>
        <v>0</v>
      </c>
    </row>
    <row r="21" spans="1:106" x14ac:dyDescent="0.25">
      <c r="A21" s="369"/>
      <c r="B21" s="369"/>
      <c r="C21" s="369"/>
      <c r="D21" s="369"/>
      <c r="E21" s="369" t="s">
        <v>146</v>
      </c>
      <c r="F21" s="366">
        <v>0</v>
      </c>
      <c r="G21" s="274"/>
      <c r="H21" s="623">
        <v>60</v>
      </c>
      <c r="I21" s="274"/>
      <c r="J21" s="366">
        <v>0</v>
      </c>
      <c r="K21" s="274"/>
      <c r="L21" s="623">
        <v>581</v>
      </c>
      <c r="M21" s="274"/>
      <c r="N21" s="366">
        <f t="shared" si="9"/>
        <v>0</v>
      </c>
      <c r="O21" s="274"/>
      <c r="P21" s="366">
        <f t="shared" si="10"/>
        <v>641</v>
      </c>
      <c r="Q21" s="274"/>
      <c r="R21" s="366">
        <v>0</v>
      </c>
      <c r="S21" s="274"/>
      <c r="T21" s="623">
        <v>496</v>
      </c>
      <c r="U21" s="274"/>
      <c r="V21" s="366">
        <v>0</v>
      </c>
      <c r="W21" s="274"/>
      <c r="X21" s="366">
        <v>45</v>
      </c>
      <c r="Y21" s="274"/>
      <c r="Z21" s="366">
        <v>0</v>
      </c>
      <c r="AA21" s="274"/>
      <c r="AB21" s="366">
        <v>0</v>
      </c>
      <c r="AC21" s="274"/>
      <c r="AD21" s="366">
        <v>0</v>
      </c>
      <c r="AE21" s="274"/>
      <c r="AF21" s="366"/>
      <c r="AG21" s="274"/>
      <c r="AH21" s="366">
        <f t="shared" si="11"/>
        <v>0</v>
      </c>
      <c r="AI21" s="274"/>
      <c r="AJ21" s="631">
        <f t="shared" ref="AJ21:AJ29" si="21">ROUND(X21+AB21+AF21,5)</f>
        <v>45</v>
      </c>
      <c r="AK21" s="274"/>
      <c r="AL21" s="366">
        <v>0</v>
      </c>
      <c r="AM21" s="274"/>
      <c r="AN21" s="623">
        <v>1181</v>
      </c>
      <c r="AO21" s="274"/>
      <c r="AP21" s="366">
        <v>0</v>
      </c>
      <c r="AQ21" s="274"/>
      <c r="AR21" s="631">
        <v>30</v>
      </c>
      <c r="AS21" s="274"/>
      <c r="AT21" s="366">
        <v>0</v>
      </c>
      <c r="AU21" s="274"/>
      <c r="AV21" s="366">
        <v>0</v>
      </c>
      <c r="AW21" s="274"/>
      <c r="AX21" s="366">
        <v>0</v>
      </c>
      <c r="AY21" s="274"/>
      <c r="AZ21" s="366">
        <v>528</v>
      </c>
      <c r="BA21" s="274"/>
      <c r="BB21" s="366">
        <v>0</v>
      </c>
      <c r="BC21" s="274"/>
      <c r="BD21" s="366"/>
      <c r="BE21" s="274"/>
      <c r="BF21" s="366">
        <f t="shared" si="12"/>
        <v>0</v>
      </c>
      <c r="BG21" s="274"/>
      <c r="BH21" s="623">
        <f t="shared" ref="BH21:BH29" si="22">ROUND(AV21+AZ21+BD21,5)</f>
        <v>528</v>
      </c>
      <c r="BI21" s="274"/>
      <c r="BJ21" s="366">
        <v>0</v>
      </c>
      <c r="BK21" s="274"/>
      <c r="BL21" s="366">
        <v>0</v>
      </c>
      <c r="BM21" s="274"/>
      <c r="BN21" s="366">
        <v>0</v>
      </c>
      <c r="BO21" s="274"/>
      <c r="BP21" s="366">
        <v>528</v>
      </c>
      <c r="BQ21" s="274"/>
      <c r="BR21" s="366">
        <v>0</v>
      </c>
      <c r="BS21" s="274"/>
      <c r="BT21" s="366">
        <v>843</v>
      </c>
      <c r="BU21" s="274"/>
      <c r="BV21" s="366">
        <f t="shared" si="13"/>
        <v>0</v>
      </c>
      <c r="BW21" s="274"/>
      <c r="BX21" s="623">
        <f t="shared" si="19"/>
        <v>1371</v>
      </c>
      <c r="BY21" s="274"/>
      <c r="BZ21" s="366">
        <f t="shared" si="14"/>
        <v>0</v>
      </c>
      <c r="CA21" s="274"/>
      <c r="CB21" s="366">
        <f t="shared" si="20"/>
        <v>3155</v>
      </c>
      <c r="CC21" s="274"/>
      <c r="CD21" s="366">
        <v>0</v>
      </c>
      <c r="CE21" s="274"/>
      <c r="CF21" s="366">
        <v>0</v>
      </c>
      <c r="CG21" s="274"/>
      <c r="CH21" s="366">
        <v>0</v>
      </c>
      <c r="CI21" s="274"/>
      <c r="CJ21" s="366">
        <v>0</v>
      </c>
      <c r="CK21" s="274"/>
      <c r="CL21" s="366">
        <v>0</v>
      </c>
      <c r="CM21" s="274"/>
      <c r="CN21" s="366"/>
      <c r="CO21" s="274"/>
      <c r="CP21" s="366">
        <f t="shared" si="15"/>
        <v>0</v>
      </c>
      <c r="CQ21" s="274"/>
      <c r="CR21" s="366">
        <f t="shared" ref="CR21:CR28" si="23">ROUND(CF21+CJ21+CN21,5)</f>
        <v>0</v>
      </c>
      <c r="CS21" s="274"/>
      <c r="CT21" s="366">
        <v>0</v>
      </c>
      <c r="CU21" s="274"/>
      <c r="CV21" s="366">
        <v>0</v>
      </c>
      <c r="CW21" s="274"/>
      <c r="CX21" s="366">
        <f t="shared" si="16"/>
        <v>0</v>
      </c>
      <c r="CY21" s="274"/>
      <c r="CZ21" s="366">
        <f t="shared" si="17"/>
        <v>4292</v>
      </c>
      <c r="DB21" s="618">
        <f t="shared" si="18"/>
        <v>75</v>
      </c>
    </row>
    <row r="22" spans="1:106" x14ac:dyDescent="0.25">
      <c r="A22" s="369"/>
      <c r="B22" s="369"/>
      <c r="C22" s="369"/>
      <c r="D22" s="369"/>
      <c r="E22" s="369" t="s">
        <v>147</v>
      </c>
      <c r="F22" s="366">
        <v>30.14</v>
      </c>
      <c r="G22" s="274"/>
      <c r="H22" s="623">
        <v>102</v>
      </c>
      <c r="I22" s="274"/>
      <c r="J22" s="366">
        <v>97.94</v>
      </c>
      <c r="K22" s="274"/>
      <c r="L22" s="623">
        <v>546</v>
      </c>
      <c r="M22" s="274"/>
      <c r="N22" s="366">
        <f t="shared" si="9"/>
        <v>128.08000000000001</v>
      </c>
      <c r="O22" s="274"/>
      <c r="P22" s="366">
        <f t="shared" si="10"/>
        <v>648</v>
      </c>
      <c r="Q22" s="274"/>
      <c r="R22" s="366">
        <v>105.52</v>
      </c>
      <c r="S22" s="274"/>
      <c r="T22" s="623">
        <v>691</v>
      </c>
      <c r="U22" s="274"/>
      <c r="V22" s="366">
        <v>22.61</v>
      </c>
      <c r="W22" s="274"/>
      <c r="X22" s="366">
        <v>76</v>
      </c>
      <c r="Y22" s="274"/>
      <c r="Z22" s="366">
        <v>0</v>
      </c>
      <c r="AA22" s="274"/>
      <c r="AB22" s="366">
        <v>0</v>
      </c>
      <c r="AC22" s="274"/>
      <c r="AD22" s="366">
        <v>0</v>
      </c>
      <c r="AE22" s="274"/>
      <c r="AF22" s="366"/>
      <c r="AG22" s="274"/>
      <c r="AH22" s="366">
        <f t="shared" si="11"/>
        <v>22.61</v>
      </c>
      <c r="AI22" s="274"/>
      <c r="AJ22" s="631">
        <f t="shared" si="21"/>
        <v>76</v>
      </c>
      <c r="AK22" s="274"/>
      <c r="AL22" s="366">
        <v>90.44</v>
      </c>
      <c r="AM22" s="274"/>
      <c r="AN22" s="623">
        <v>306</v>
      </c>
      <c r="AO22" s="274"/>
      <c r="AP22" s="366">
        <v>27.58</v>
      </c>
      <c r="AQ22" s="274"/>
      <c r="AR22" s="631">
        <v>51</v>
      </c>
      <c r="AS22" s="274"/>
      <c r="AT22" s="366">
        <v>0</v>
      </c>
      <c r="AU22" s="274"/>
      <c r="AV22" s="366">
        <v>0</v>
      </c>
      <c r="AW22" s="274"/>
      <c r="AX22" s="366">
        <v>263.77999999999997</v>
      </c>
      <c r="AY22" s="274"/>
      <c r="AZ22" s="366">
        <v>3292</v>
      </c>
      <c r="BA22" s="274"/>
      <c r="BB22" s="366">
        <v>0</v>
      </c>
      <c r="BC22" s="274"/>
      <c r="BD22" s="366"/>
      <c r="BE22" s="274"/>
      <c r="BF22" s="366">
        <f t="shared" si="12"/>
        <v>263.77999999999997</v>
      </c>
      <c r="BG22" s="274"/>
      <c r="BH22" s="623">
        <f t="shared" si="22"/>
        <v>3292</v>
      </c>
      <c r="BI22" s="274"/>
      <c r="BJ22" s="366">
        <v>0</v>
      </c>
      <c r="BK22" s="274"/>
      <c r="BL22" s="366">
        <v>0</v>
      </c>
      <c r="BM22" s="274"/>
      <c r="BN22" s="366">
        <v>263.79000000000002</v>
      </c>
      <c r="BO22" s="274"/>
      <c r="BP22" s="366">
        <v>892</v>
      </c>
      <c r="BQ22" s="274"/>
      <c r="BR22" s="366">
        <v>271.33</v>
      </c>
      <c r="BS22" s="274"/>
      <c r="BT22" s="366">
        <v>1517</v>
      </c>
      <c r="BU22" s="274"/>
      <c r="BV22" s="366">
        <f t="shared" si="13"/>
        <v>535.12</v>
      </c>
      <c r="BW22" s="274"/>
      <c r="BX22" s="623">
        <f t="shared" si="19"/>
        <v>2409</v>
      </c>
      <c r="BY22" s="274"/>
      <c r="BZ22" s="366">
        <f t="shared" si="14"/>
        <v>939.53</v>
      </c>
      <c r="CA22" s="274"/>
      <c r="CB22" s="366">
        <f t="shared" si="20"/>
        <v>6134</v>
      </c>
      <c r="CC22" s="274"/>
      <c r="CD22" s="366">
        <v>0</v>
      </c>
      <c r="CE22" s="274"/>
      <c r="CF22" s="366">
        <v>0</v>
      </c>
      <c r="CG22" s="274"/>
      <c r="CH22" s="366">
        <v>0</v>
      </c>
      <c r="CI22" s="274"/>
      <c r="CJ22" s="366"/>
      <c r="CK22" s="274"/>
      <c r="CL22" s="366">
        <v>0</v>
      </c>
      <c r="CM22" s="274"/>
      <c r="CN22" s="366"/>
      <c r="CO22" s="274"/>
      <c r="CP22" s="366">
        <f t="shared" si="15"/>
        <v>0</v>
      </c>
      <c r="CQ22" s="274"/>
      <c r="CR22" s="366">
        <f t="shared" si="23"/>
        <v>0</v>
      </c>
      <c r="CS22" s="274"/>
      <c r="CT22" s="366">
        <v>0</v>
      </c>
      <c r="CU22" s="274"/>
      <c r="CV22" s="366">
        <v>0</v>
      </c>
      <c r="CW22" s="274"/>
      <c r="CX22" s="366">
        <f t="shared" si="16"/>
        <v>1173.1300000000001</v>
      </c>
      <c r="CY22" s="274"/>
      <c r="CZ22" s="366">
        <f t="shared" si="17"/>
        <v>7473</v>
      </c>
      <c r="DB22" s="618">
        <f t="shared" si="18"/>
        <v>127</v>
      </c>
    </row>
    <row r="23" spans="1:106" x14ac:dyDescent="0.25">
      <c r="A23" s="369"/>
      <c r="B23" s="369"/>
      <c r="C23" s="369"/>
      <c r="D23" s="369"/>
      <c r="E23" s="369" t="s">
        <v>148</v>
      </c>
      <c r="F23" s="366">
        <v>4.3600000000000003</v>
      </c>
      <c r="G23" s="274"/>
      <c r="H23" s="623">
        <v>14</v>
      </c>
      <c r="I23" s="274"/>
      <c r="J23" s="366">
        <v>13.08</v>
      </c>
      <c r="K23" s="274"/>
      <c r="L23" s="623">
        <v>41</v>
      </c>
      <c r="M23" s="274"/>
      <c r="N23" s="366">
        <f t="shared" si="9"/>
        <v>17.440000000000001</v>
      </c>
      <c r="O23" s="274"/>
      <c r="P23" s="366">
        <f t="shared" si="10"/>
        <v>55</v>
      </c>
      <c r="Q23" s="274"/>
      <c r="R23" s="366">
        <v>148.43</v>
      </c>
      <c r="S23" s="274"/>
      <c r="T23" s="623">
        <v>5984</v>
      </c>
      <c r="U23" s="274"/>
      <c r="V23" s="366">
        <v>3.27</v>
      </c>
      <c r="W23" s="274"/>
      <c r="X23" s="366">
        <v>10</v>
      </c>
      <c r="Y23" s="274"/>
      <c r="Z23" s="366">
        <v>0</v>
      </c>
      <c r="AA23" s="274"/>
      <c r="AB23" s="366">
        <v>0</v>
      </c>
      <c r="AC23" s="274"/>
      <c r="AD23" s="366">
        <v>0</v>
      </c>
      <c r="AE23" s="274"/>
      <c r="AF23" s="366">
        <v>0</v>
      </c>
      <c r="AG23" s="274"/>
      <c r="AH23" s="366">
        <f t="shared" si="11"/>
        <v>3.27</v>
      </c>
      <c r="AI23" s="274"/>
      <c r="AJ23" s="631">
        <f t="shared" si="21"/>
        <v>10</v>
      </c>
      <c r="AK23" s="274"/>
      <c r="AL23" s="366">
        <v>13.08</v>
      </c>
      <c r="AM23" s="274"/>
      <c r="AN23" s="623">
        <v>41</v>
      </c>
      <c r="AO23" s="274"/>
      <c r="AP23" s="366">
        <v>2.1800000000000002</v>
      </c>
      <c r="AQ23" s="274"/>
      <c r="AR23" s="631">
        <v>7</v>
      </c>
      <c r="AS23" s="274"/>
      <c r="AT23" s="366">
        <v>0</v>
      </c>
      <c r="AU23" s="274"/>
      <c r="AV23" s="366">
        <v>0</v>
      </c>
      <c r="AW23" s="274"/>
      <c r="AX23" s="366">
        <v>38.159999999999997</v>
      </c>
      <c r="AY23" s="274"/>
      <c r="AZ23" s="366">
        <v>119</v>
      </c>
      <c r="BA23" s="274"/>
      <c r="BB23" s="366">
        <v>0</v>
      </c>
      <c r="BC23" s="274"/>
      <c r="BD23" s="366"/>
      <c r="BE23" s="274"/>
      <c r="BF23" s="366">
        <f t="shared" si="12"/>
        <v>38.159999999999997</v>
      </c>
      <c r="BG23" s="274"/>
      <c r="BH23" s="623">
        <f t="shared" si="22"/>
        <v>119</v>
      </c>
      <c r="BI23" s="274"/>
      <c r="BJ23" s="366">
        <v>-35.979999999999997</v>
      </c>
      <c r="BK23" s="274"/>
      <c r="BL23" s="366">
        <v>300</v>
      </c>
      <c r="BM23" s="274"/>
      <c r="BN23" s="366">
        <v>38.15</v>
      </c>
      <c r="BO23" s="274"/>
      <c r="BP23" s="366">
        <v>119</v>
      </c>
      <c r="BQ23" s="274"/>
      <c r="BR23" s="366">
        <v>39.24</v>
      </c>
      <c r="BS23" s="274"/>
      <c r="BT23" s="366">
        <v>272</v>
      </c>
      <c r="BU23" s="274"/>
      <c r="BV23" s="366">
        <f t="shared" si="13"/>
        <v>41.41</v>
      </c>
      <c r="BW23" s="274"/>
      <c r="BX23" s="623">
        <f t="shared" si="19"/>
        <v>691</v>
      </c>
      <c r="BY23" s="274"/>
      <c r="BZ23" s="366">
        <f t="shared" si="14"/>
        <v>98.1</v>
      </c>
      <c r="CA23" s="274"/>
      <c r="CB23" s="366">
        <f t="shared" si="20"/>
        <v>868</v>
      </c>
      <c r="CC23" s="274"/>
      <c r="CD23" s="366">
        <v>0</v>
      </c>
      <c r="CE23" s="274"/>
      <c r="CF23" s="366">
        <v>0</v>
      </c>
      <c r="CG23" s="274"/>
      <c r="CH23" s="366">
        <v>0</v>
      </c>
      <c r="CI23" s="274"/>
      <c r="CJ23" s="366"/>
      <c r="CK23" s="274"/>
      <c r="CL23" s="366">
        <v>0</v>
      </c>
      <c r="CM23" s="274"/>
      <c r="CN23" s="366"/>
      <c r="CO23" s="274"/>
      <c r="CP23" s="366">
        <f t="shared" si="15"/>
        <v>0</v>
      </c>
      <c r="CQ23" s="274"/>
      <c r="CR23" s="366">
        <f t="shared" si="23"/>
        <v>0</v>
      </c>
      <c r="CS23" s="274"/>
      <c r="CT23" s="366">
        <v>0</v>
      </c>
      <c r="CU23" s="274"/>
      <c r="CV23" s="366">
        <v>0</v>
      </c>
      <c r="CW23" s="274"/>
      <c r="CX23" s="366">
        <f t="shared" si="16"/>
        <v>263.97000000000003</v>
      </c>
      <c r="CY23" s="274"/>
      <c r="CZ23" s="366">
        <f t="shared" si="17"/>
        <v>6907</v>
      </c>
      <c r="DB23" s="618">
        <f t="shared" si="18"/>
        <v>17</v>
      </c>
    </row>
    <row r="24" spans="1:106" x14ac:dyDescent="0.25">
      <c r="A24" s="369"/>
      <c r="B24" s="369"/>
      <c r="C24" s="369"/>
      <c r="D24" s="369"/>
      <c r="E24" s="369" t="s">
        <v>149</v>
      </c>
      <c r="F24" s="366">
        <v>134.02000000000001</v>
      </c>
      <c r="G24" s="274"/>
      <c r="H24" s="623">
        <v>548</v>
      </c>
      <c r="I24" s="274"/>
      <c r="J24" s="366">
        <v>606.75</v>
      </c>
      <c r="K24" s="274"/>
      <c r="L24" s="623">
        <v>2451</v>
      </c>
      <c r="M24" s="274"/>
      <c r="N24" s="366">
        <f t="shared" si="9"/>
        <v>740.77</v>
      </c>
      <c r="O24" s="274"/>
      <c r="P24" s="366">
        <f t="shared" si="10"/>
        <v>2999</v>
      </c>
      <c r="Q24" s="274"/>
      <c r="R24" s="366">
        <v>419.7</v>
      </c>
      <c r="S24" s="274"/>
      <c r="T24" s="623">
        <v>1532</v>
      </c>
      <c r="U24" s="274"/>
      <c r="V24" s="366">
        <v>78.33</v>
      </c>
      <c r="W24" s="274"/>
      <c r="X24" s="366">
        <v>314</v>
      </c>
      <c r="Y24" s="274"/>
      <c r="Z24" s="366">
        <v>0</v>
      </c>
      <c r="AA24" s="274"/>
      <c r="AB24" s="366">
        <v>0</v>
      </c>
      <c r="AC24" s="274"/>
      <c r="AD24" s="366">
        <v>0</v>
      </c>
      <c r="AE24" s="274"/>
      <c r="AF24" s="366"/>
      <c r="AG24" s="274"/>
      <c r="AH24" s="366">
        <f t="shared" si="11"/>
        <v>78.33</v>
      </c>
      <c r="AI24" s="274"/>
      <c r="AJ24" s="631">
        <f t="shared" si="21"/>
        <v>314</v>
      </c>
      <c r="AK24" s="274"/>
      <c r="AL24" s="366">
        <v>321.63</v>
      </c>
      <c r="AM24" s="274"/>
      <c r="AN24" s="623">
        <v>1289</v>
      </c>
      <c r="AO24" s="274"/>
      <c r="AP24" s="366">
        <v>53.94</v>
      </c>
      <c r="AQ24" s="274"/>
      <c r="AR24" s="631">
        <v>216</v>
      </c>
      <c r="AS24" s="274"/>
      <c r="AT24" s="366">
        <v>0</v>
      </c>
      <c r="AU24" s="274"/>
      <c r="AV24" s="366">
        <v>0</v>
      </c>
      <c r="AW24" s="274"/>
      <c r="AX24" s="366">
        <v>902.02</v>
      </c>
      <c r="AY24" s="274"/>
      <c r="AZ24" s="366">
        <v>3631</v>
      </c>
      <c r="BA24" s="274"/>
      <c r="BB24" s="366">
        <v>0</v>
      </c>
      <c r="BC24" s="274"/>
      <c r="BD24" s="366"/>
      <c r="BE24" s="274"/>
      <c r="BF24" s="366">
        <f t="shared" si="12"/>
        <v>902.02</v>
      </c>
      <c r="BG24" s="274"/>
      <c r="BH24" s="623">
        <f t="shared" si="22"/>
        <v>3631</v>
      </c>
      <c r="BI24" s="274"/>
      <c r="BJ24" s="366">
        <v>0</v>
      </c>
      <c r="BK24" s="274"/>
      <c r="BL24" s="366">
        <v>0</v>
      </c>
      <c r="BM24" s="274"/>
      <c r="BN24" s="366">
        <v>657.15</v>
      </c>
      <c r="BO24" s="274"/>
      <c r="BP24" s="366">
        <v>2636</v>
      </c>
      <c r="BQ24" s="274"/>
      <c r="BR24" s="366">
        <v>746.83</v>
      </c>
      <c r="BS24" s="274"/>
      <c r="BT24" s="366">
        <v>3000</v>
      </c>
      <c r="BU24" s="274"/>
      <c r="BV24" s="366">
        <f t="shared" si="13"/>
        <v>1403.98</v>
      </c>
      <c r="BW24" s="274"/>
      <c r="BX24" s="623">
        <f t="shared" si="19"/>
        <v>5636</v>
      </c>
      <c r="BY24" s="274"/>
      <c r="BZ24" s="366">
        <f t="shared" si="14"/>
        <v>2759.9</v>
      </c>
      <c r="CA24" s="274"/>
      <c r="CB24" s="366">
        <f t="shared" si="20"/>
        <v>11086</v>
      </c>
      <c r="CC24" s="274"/>
      <c r="CD24" s="366">
        <v>0</v>
      </c>
      <c r="CE24" s="274"/>
      <c r="CF24" s="366"/>
      <c r="CG24" s="274"/>
      <c r="CH24" s="366">
        <v>0</v>
      </c>
      <c r="CI24" s="274"/>
      <c r="CJ24" s="366"/>
      <c r="CK24" s="274"/>
      <c r="CL24" s="366">
        <v>0</v>
      </c>
      <c r="CM24" s="274"/>
      <c r="CN24" s="366">
        <v>0</v>
      </c>
      <c r="CO24" s="274"/>
      <c r="CP24" s="366">
        <f t="shared" si="15"/>
        <v>0</v>
      </c>
      <c r="CQ24" s="274"/>
      <c r="CR24" s="366">
        <f t="shared" si="23"/>
        <v>0</v>
      </c>
      <c r="CS24" s="274"/>
      <c r="CT24" s="366">
        <v>0</v>
      </c>
      <c r="CU24" s="274"/>
      <c r="CV24" s="366">
        <v>0</v>
      </c>
      <c r="CW24" s="274"/>
      <c r="CX24" s="366">
        <f t="shared" si="16"/>
        <v>3920.37</v>
      </c>
      <c r="CY24" s="274"/>
      <c r="CZ24" s="366">
        <f t="shared" si="17"/>
        <v>15617</v>
      </c>
      <c r="DB24" s="618">
        <f t="shared" si="18"/>
        <v>530</v>
      </c>
    </row>
    <row r="25" spans="1:106" x14ac:dyDescent="0.25">
      <c r="A25" s="369"/>
      <c r="B25" s="369"/>
      <c r="C25" s="369"/>
      <c r="D25" s="369"/>
      <c r="E25" s="369" t="s">
        <v>150</v>
      </c>
      <c r="F25" s="366">
        <v>20.52</v>
      </c>
      <c r="G25" s="274"/>
      <c r="H25" s="623">
        <v>83</v>
      </c>
      <c r="I25" s="274"/>
      <c r="J25" s="366">
        <v>61.53</v>
      </c>
      <c r="K25" s="274"/>
      <c r="L25" s="623">
        <v>250</v>
      </c>
      <c r="M25" s="274"/>
      <c r="N25" s="366">
        <f t="shared" si="9"/>
        <v>82.05</v>
      </c>
      <c r="O25" s="274"/>
      <c r="P25" s="366">
        <f t="shared" si="10"/>
        <v>333</v>
      </c>
      <c r="Q25" s="274"/>
      <c r="R25" s="366">
        <v>71.760000000000005</v>
      </c>
      <c r="S25" s="274"/>
      <c r="T25" s="623">
        <v>271</v>
      </c>
      <c r="U25" s="274"/>
      <c r="V25" s="366">
        <v>15.39</v>
      </c>
      <c r="W25" s="274"/>
      <c r="X25" s="366">
        <v>62</v>
      </c>
      <c r="Y25" s="274"/>
      <c r="Z25" s="366">
        <v>0</v>
      </c>
      <c r="AA25" s="274"/>
      <c r="AB25" s="366">
        <v>0</v>
      </c>
      <c r="AC25" s="274"/>
      <c r="AD25" s="366">
        <v>0</v>
      </c>
      <c r="AE25" s="274"/>
      <c r="AF25" s="366"/>
      <c r="AG25" s="274"/>
      <c r="AH25" s="366">
        <f t="shared" si="11"/>
        <v>15.39</v>
      </c>
      <c r="AI25" s="274"/>
      <c r="AJ25" s="631">
        <f t="shared" si="21"/>
        <v>62</v>
      </c>
      <c r="AK25" s="274"/>
      <c r="AL25" s="366">
        <v>61.53</v>
      </c>
      <c r="AM25" s="274"/>
      <c r="AN25" s="623">
        <v>250</v>
      </c>
      <c r="AO25" s="274"/>
      <c r="AP25" s="366">
        <v>10.26</v>
      </c>
      <c r="AQ25" s="274"/>
      <c r="AR25" s="631">
        <v>42</v>
      </c>
      <c r="AS25" s="274"/>
      <c r="AT25" s="366">
        <v>0</v>
      </c>
      <c r="AU25" s="274"/>
      <c r="AV25" s="366">
        <v>0</v>
      </c>
      <c r="AW25" s="274"/>
      <c r="AX25" s="366">
        <v>179.43</v>
      </c>
      <c r="AY25" s="274"/>
      <c r="AZ25" s="366">
        <v>729</v>
      </c>
      <c r="BA25" s="274"/>
      <c r="BB25" s="366">
        <v>0</v>
      </c>
      <c r="BC25" s="274"/>
      <c r="BD25" s="366"/>
      <c r="BE25" s="274"/>
      <c r="BF25" s="366">
        <f t="shared" si="12"/>
        <v>179.43</v>
      </c>
      <c r="BG25" s="274"/>
      <c r="BH25" s="623">
        <f t="shared" si="22"/>
        <v>729</v>
      </c>
      <c r="BI25" s="274"/>
      <c r="BJ25" s="366">
        <v>0</v>
      </c>
      <c r="BK25" s="274"/>
      <c r="BL25" s="366">
        <v>0</v>
      </c>
      <c r="BM25" s="274"/>
      <c r="BN25" s="366">
        <v>179.37</v>
      </c>
      <c r="BO25" s="274"/>
      <c r="BP25" s="366">
        <v>729</v>
      </c>
      <c r="BQ25" s="274"/>
      <c r="BR25" s="366">
        <v>184.56</v>
      </c>
      <c r="BS25" s="274"/>
      <c r="BT25" s="366">
        <v>750</v>
      </c>
      <c r="BU25" s="274"/>
      <c r="BV25" s="366">
        <f t="shared" si="13"/>
        <v>363.93</v>
      </c>
      <c r="BW25" s="274"/>
      <c r="BX25" s="623">
        <f t="shared" si="19"/>
        <v>1479</v>
      </c>
      <c r="BY25" s="274"/>
      <c r="BZ25" s="366">
        <f t="shared" si="14"/>
        <v>630.54</v>
      </c>
      <c r="CA25" s="274"/>
      <c r="CB25" s="366">
        <f t="shared" si="20"/>
        <v>2562</v>
      </c>
      <c r="CC25" s="274"/>
      <c r="CD25" s="366">
        <v>0</v>
      </c>
      <c r="CE25" s="274"/>
      <c r="CF25" s="366">
        <v>0</v>
      </c>
      <c r="CG25" s="274"/>
      <c r="CH25" s="366">
        <v>0</v>
      </c>
      <c r="CI25" s="274"/>
      <c r="CJ25" s="366">
        <v>0</v>
      </c>
      <c r="CK25" s="274"/>
      <c r="CL25" s="366">
        <v>0</v>
      </c>
      <c r="CM25" s="274"/>
      <c r="CN25" s="366"/>
      <c r="CO25" s="274"/>
      <c r="CP25" s="366">
        <f t="shared" si="15"/>
        <v>0</v>
      </c>
      <c r="CQ25" s="274"/>
      <c r="CR25" s="366">
        <f t="shared" si="23"/>
        <v>0</v>
      </c>
      <c r="CS25" s="274"/>
      <c r="CT25" s="366">
        <v>0</v>
      </c>
      <c r="CU25" s="274"/>
      <c r="CV25" s="366">
        <v>0</v>
      </c>
      <c r="CW25" s="274"/>
      <c r="CX25" s="366">
        <f t="shared" si="16"/>
        <v>784.35</v>
      </c>
      <c r="CY25" s="274"/>
      <c r="CZ25" s="366">
        <f t="shared" si="17"/>
        <v>3166</v>
      </c>
      <c r="DB25" s="618">
        <f t="shared" si="18"/>
        <v>104</v>
      </c>
    </row>
    <row r="26" spans="1:106" x14ac:dyDescent="0.25">
      <c r="A26" s="369"/>
      <c r="B26" s="369"/>
      <c r="C26" s="369"/>
      <c r="D26" s="369"/>
      <c r="E26" s="369" t="s">
        <v>151</v>
      </c>
      <c r="F26" s="366">
        <v>3.63</v>
      </c>
      <c r="G26" s="274"/>
      <c r="H26" s="623">
        <v>24</v>
      </c>
      <c r="I26" s="274"/>
      <c r="J26" s="366">
        <v>10.89</v>
      </c>
      <c r="K26" s="274"/>
      <c r="L26" s="623">
        <v>72</v>
      </c>
      <c r="M26" s="274"/>
      <c r="N26" s="366">
        <f t="shared" si="9"/>
        <v>14.52</v>
      </c>
      <c r="O26" s="274"/>
      <c r="P26" s="366">
        <f t="shared" si="10"/>
        <v>96</v>
      </c>
      <c r="Q26" s="274"/>
      <c r="R26" s="366">
        <v>2315.14</v>
      </c>
      <c r="S26" s="274"/>
      <c r="T26" s="623">
        <v>9078</v>
      </c>
      <c r="U26" s="274"/>
      <c r="V26" s="366">
        <v>2.73</v>
      </c>
      <c r="W26" s="274"/>
      <c r="X26" s="366">
        <v>18</v>
      </c>
      <c r="Y26" s="274"/>
      <c r="Z26" s="366">
        <v>0</v>
      </c>
      <c r="AA26" s="274"/>
      <c r="AB26" s="366">
        <v>0</v>
      </c>
      <c r="AC26" s="274"/>
      <c r="AD26" s="366">
        <v>0</v>
      </c>
      <c r="AE26" s="274"/>
      <c r="AF26" s="366"/>
      <c r="AG26" s="274"/>
      <c r="AH26" s="366">
        <f t="shared" si="11"/>
        <v>2.73</v>
      </c>
      <c r="AI26" s="274"/>
      <c r="AJ26" s="631">
        <f t="shared" si="21"/>
        <v>18</v>
      </c>
      <c r="AK26" s="274"/>
      <c r="AL26" s="366">
        <v>10.89</v>
      </c>
      <c r="AM26" s="274"/>
      <c r="AN26" s="623">
        <v>72</v>
      </c>
      <c r="AO26" s="274"/>
      <c r="AP26" s="366">
        <v>1.83</v>
      </c>
      <c r="AQ26" s="274"/>
      <c r="AR26" s="631">
        <v>12</v>
      </c>
      <c r="AS26" s="274"/>
      <c r="AT26" s="366">
        <v>0</v>
      </c>
      <c r="AU26" s="274"/>
      <c r="AV26" s="366">
        <v>0</v>
      </c>
      <c r="AW26" s="274"/>
      <c r="AX26" s="366">
        <v>31.77</v>
      </c>
      <c r="AY26" s="274"/>
      <c r="AZ26" s="366">
        <v>211</v>
      </c>
      <c r="BA26" s="274"/>
      <c r="BB26" s="366">
        <v>0</v>
      </c>
      <c r="BC26" s="274"/>
      <c r="BD26" s="366"/>
      <c r="BE26" s="274"/>
      <c r="BF26" s="366">
        <f t="shared" si="12"/>
        <v>31.77</v>
      </c>
      <c r="BG26" s="274"/>
      <c r="BH26" s="623">
        <f t="shared" si="22"/>
        <v>211</v>
      </c>
      <c r="BI26" s="274"/>
      <c r="BJ26" s="366">
        <v>0</v>
      </c>
      <c r="BK26" s="274"/>
      <c r="BL26" s="366">
        <v>0</v>
      </c>
      <c r="BM26" s="274"/>
      <c r="BN26" s="366">
        <v>31.76</v>
      </c>
      <c r="BO26" s="274"/>
      <c r="BP26" s="366">
        <v>211</v>
      </c>
      <c r="BQ26" s="274"/>
      <c r="BR26" s="366">
        <v>32.700000000000003</v>
      </c>
      <c r="BS26" s="274"/>
      <c r="BT26" s="366">
        <v>217</v>
      </c>
      <c r="BU26" s="274"/>
      <c r="BV26" s="366">
        <f t="shared" si="13"/>
        <v>64.459999999999994</v>
      </c>
      <c r="BW26" s="274"/>
      <c r="BX26" s="623">
        <f t="shared" si="19"/>
        <v>428</v>
      </c>
      <c r="BY26" s="274"/>
      <c r="BZ26" s="366">
        <f t="shared" si="14"/>
        <v>111.68</v>
      </c>
      <c r="CA26" s="274"/>
      <c r="CB26" s="366">
        <f t="shared" si="20"/>
        <v>741</v>
      </c>
      <c r="CC26" s="274"/>
      <c r="CD26" s="366">
        <v>0</v>
      </c>
      <c r="CE26" s="274"/>
      <c r="CF26" s="366">
        <v>0</v>
      </c>
      <c r="CG26" s="274"/>
      <c r="CH26" s="366">
        <v>0</v>
      </c>
      <c r="CI26" s="274"/>
      <c r="CJ26" s="366"/>
      <c r="CK26" s="274"/>
      <c r="CL26" s="366">
        <v>0</v>
      </c>
      <c r="CM26" s="274"/>
      <c r="CN26" s="366"/>
      <c r="CO26" s="274"/>
      <c r="CP26" s="366">
        <f t="shared" si="15"/>
        <v>0</v>
      </c>
      <c r="CQ26" s="274"/>
      <c r="CR26" s="366">
        <f t="shared" si="23"/>
        <v>0</v>
      </c>
      <c r="CS26" s="274"/>
      <c r="CT26" s="366">
        <v>0</v>
      </c>
      <c r="CU26" s="274"/>
      <c r="CV26" s="366">
        <v>0</v>
      </c>
      <c r="CW26" s="274"/>
      <c r="CX26" s="366">
        <f t="shared" si="16"/>
        <v>2441.34</v>
      </c>
      <c r="CY26" s="274"/>
      <c r="CZ26" s="366">
        <f t="shared" si="17"/>
        <v>9915</v>
      </c>
      <c r="DB26" s="618">
        <f t="shared" si="18"/>
        <v>30</v>
      </c>
    </row>
    <row r="27" spans="1:106" x14ac:dyDescent="0.25">
      <c r="A27" s="369"/>
      <c r="B27" s="369"/>
      <c r="C27" s="369"/>
      <c r="D27" s="369"/>
      <c r="E27" s="369" t="s">
        <v>152</v>
      </c>
      <c r="F27" s="366">
        <v>0</v>
      </c>
      <c r="G27" s="274"/>
      <c r="H27" s="623">
        <v>10008</v>
      </c>
      <c r="I27" s="274"/>
      <c r="J27" s="366">
        <v>0</v>
      </c>
      <c r="K27" s="274"/>
      <c r="L27" s="623">
        <v>2023</v>
      </c>
      <c r="M27" s="274"/>
      <c r="N27" s="366">
        <f t="shared" si="9"/>
        <v>0</v>
      </c>
      <c r="O27" s="274"/>
      <c r="P27" s="366">
        <f t="shared" si="10"/>
        <v>12031</v>
      </c>
      <c r="Q27" s="274"/>
      <c r="R27" s="366">
        <v>0</v>
      </c>
      <c r="S27" s="274"/>
      <c r="T27" s="623">
        <v>525</v>
      </c>
      <c r="U27" s="274"/>
      <c r="V27" s="366">
        <v>0</v>
      </c>
      <c r="W27" s="274"/>
      <c r="X27" s="366">
        <v>1506</v>
      </c>
      <c r="Y27" s="274"/>
      <c r="Z27" s="366">
        <v>0</v>
      </c>
      <c r="AA27" s="274"/>
      <c r="AB27" s="366">
        <v>0</v>
      </c>
      <c r="AC27" s="274"/>
      <c r="AD27" s="366">
        <v>0</v>
      </c>
      <c r="AE27" s="274"/>
      <c r="AF27" s="366">
        <v>0</v>
      </c>
      <c r="AG27" s="274"/>
      <c r="AH27" s="366">
        <f t="shared" si="11"/>
        <v>0</v>
      </c>
      <c r="AI27" s="274"/>
      <c r="AJ27" s="631">
        <f t="shared" si="21"/>
        <v>1506</v>
      </c>
      <c r="AK27" s="274"/>
      <c r="AL27" s="366">
        <v>0</v>
      </c>
      <c r="AM27" s="274"/>
      <c r="AN27" s="623">
        <v>106023</v>
      </c>
      <c r="AO27" s="274"/>
      <c r="AP27" s="366">
        <v>0</v>
      </c>
      <c r="AQ27" s="274"/>
      <c r="AR27" s="631">
        <v>4</v>
      </c>
      <c r="AS27" s="274"/>
      <c r="AT27" s="366">
        <v>0</v>
      </c>
      <c r="AU27" s="274"/>
      <c r="AV27" s="366">
        <v>0</v>
      </c>
      <c r="AW27" s="274"/>
      <c r="AX27" s="366">
        <v>0</v>
      </c>
      <c r="AY27" s="274"/>
      <c r="AZ27" s="366">
        <v>566</v>
      </c>
      <c r="BA27" s="274"/>
      <c r="BB27" s="366">
        <v>0</v>
      </c>
      <c r="BC27" s="274"/>
      <c r="BD27" s="366"/>
      <c r="BE27" s="274"/>
      <c r="BF27" s="366">
        <f t="shared" si="12"/>
        <v>0</v>
      </c>
      <c r="BG27" s="274"/>
      <c r="BH27" s="623">
        <f t="shared" si="22"/>
        <v>566</v>
      </c>
      <c r="BI27" s="274"/>
      <c r="BJ27" s="366">
        <v>0</v>
      </c>
      <c r="BK27" s="274"/>
      <c r="BL27" s="366">
        <v>0</v>
      </c>
      <c r="BM27" s="274"/>
      <c r="BN27" s="366">
        <v>0</v>
      </c>
      <c r="BO27" s="274"/>
      <c r="BP27" s="366">
        <v>66</v>
      </c>
      <c r="BQ27" s="274"/>
      <c r="BR27" s="366">
        <v>0</v>
      </c>
      <c r="BS27" s="274"/>
      <c r="BT27" s="366">
        <v>3068</v>
      </c>
      <c r="BU27" s="274"/>
      <c r="BV27" s="366">
        <f t="shared" si="13"/>
        <v>0</v>
      </c>
      <c r="BW27" s="274"/>
      <c r="BX27" s="623">
        <f t="shared" si="19"/>
        <v>3134</v>
      </c>
      <c r="BY27" s="274"/>
      <c r="BZ27" s="366">
        <f t="shared" si="14"/>
        <v>0</v>
      </c>
      <c r="CA27" s="274"/>
      <c r="CB27" s="366">
        <f t="shared" si="20"/>
        <v>111233</v>
      </c>
      <c r="CC27" s="274"/>
      <c r="CD27" s="366">
        <v>0</v>
      </c>
      <c r="CE27" s="274"/>
      <c r="CF27" s="366">
        <v>0</v>
      </c>
      <c r="CG27" s="274"/>
      <c r="CH27" s="366">
        <v>0</v>
      </c>
      <c r="CI27" s="274"/>
      <c r="CJ27" s="366">
        <v>0</v>
      </c>
      <c r="CK27" s="274"/>
      <c r="CL27" s="366">
        <v>0</v>
      </c>
      <c r="CM27" s="274"/>
      <c r="CN27" s="366"/>
      <c r="CO27" s="274"/>
      <c r="CP27" s="366">
        <f t="shared" si="15"/>
        <v>0</v>
      </c>
      <c r="CQ27" s="274"/>
      <c r="CR27" s="366">
        <f t="shared" si="23"/>
        <v>0</v>
      </c>
      <c r="CS27" s="274"/>
      <c r="CT27" s="366">
        <v>0</v>
      </c>
      <c r="CU27" s="274"/>
      <c r="CV27" s="366">
        <v>0</v>
      </c>
      <c r="CW27" s="274"/>
      <c r="CX27" s="366">
        <f t="shared" si="16"/>
        <v>0</v>
      </c>
      <c r="CY27" s="274"/>
      <c r="CZ27" s="366">
        <f t="shared" si="17"/>
        <v>123789</v>
      </c>
      <c r="DA27" s="300">
        <f>123790-CZ27</f>
        <v>1</v>
      </c>
      <c r="DB27" s="618">
        <f t="shared" si="18"/>
        <v>1510</v>
      </c>
    </row>
    <row r="28" spans="1:106" x14ac:dyDescent="0.25">
      <c r="A28" s="369"/>
      <c r="B28" s="369"/>
      <c r="C28" s="369"/>
      <c r="D28" s="369"/>
      <c r="E28" s="369" t="s">
        <v>153</v>
      </c>
      <c r="F28" s="366">
        <v>0</v>
      </c>
      <c r="G28" s="274"/>
      <c r="H28" s="623">
        <v>0</v>
      </c>
      <c r="I28" s="274"/>
      <c r="J28" s="366">
        <v>0</v>
      </c>
      <c r="K28" s="274"/>
      <c r="L28" s="623">
        <v>0</v>
      </c>
      <c r="M28" s="274"/>
      <c r="N28" s="366">
        <f t="shared" si="9"/>
        <v>0</v>
      </c>
      <c r="O28" s="274"/>
      <c r="P28" s="366">
        <f t="shared" si="10"/>
        <v>0</v>
      </c>
      <c r="Q28" s="274"/>
      <c r="R28" s="366">
        <v>260</v>
      </c>
      <c r="S28" s="274"/>
      <c r="T28" s="623">
        <v>1258</v>
      </c>
      <c r="U28" s="274"/>
      <c r="V28" s="366">
        <v>0</v>
      </c>
      <c r="W28" s="274"/>
      <c r="X28" s="366">
        <v>0</v>
      </c>
      <c r="Y28" s="274"/>
      <c r="Z28" s="366">
        <v>0</v>
      </c>
      <c r="AA28" s="274"/>
      <c r="AB28" s="366">
        <v>0</v>
      </c>
      <c r="AC28" s="274"/>
      <c r="AD28" s="366">
        <v>0</v>
      </c>
      <c r="AE28" s="274"/>
      <c r="AF28" s="366"/>
      <c r="AG28" s="274"/>
      <c r="AH28" s="366">
        <f t="shared" si="11"/>
        <v>0</v>
      </c>
      <c r="AI28" s="274"/>
      <c r="AJ28" s="631">
        <f t="shared" si="21"/>
        <v>0</v>
      </c>
      <c r="AK28" s="274"/>
      <c r="AL28" s="366">
        <v>0</v>
      </c>
      <c r="AM28" s="274"/>
      <c r="AN28" s="623">
        <v>0</v>
      </c>
      <c r="AO28" s="274"/>
      <c r="AP28" s="366">
        <v>0</v>
      </c>
      <c r="AQ28" s="274"/>
      <c r="AR28" s="631">
        <v>0</v>
      </c>
      <c r="AS28" s="274"/>
      <c r="AT28" s="366">
        <v>0</v>
      </c>
      <c r="AU28" s="274"/>
      <c r="AV28" s="366">
        <v>0</v>
      </c>
      <c r="AW28" s="274"/>
      <c r="AX28" s="366">
        <v>0</v>
      </c>
      <c r="AY28" s="274"/>
      <c r="AZ28" s="366">
        <v>5000</v>
      </c>
      <c r="BA28" s="274"/>
      <c r="BB28" s="366">
        <v>0</v>
      </c>
      <c r="BC28" s="274"/>
      <c r="BD28" s="366"/>
      <c r="BE28" s="274"/>
      <c r="BF28" s="366">
        <f t="shared" si="12"/>
        <v>0</v>
      </c>
      <c r="BG28" s="274"/>
      <c r="BH28" s="623">
        <f t="shared" si="22"/>
        <v>5000</v>
      </c>
      <c r="BI28" s="274"/>
      <c r="BJ28" s="366">
        <v>0</v>
      </c>
      <c r="BK28" s="274"/>
      <c r="BL28" s="366">
        <v>0</v>
      </c>
      <c r="BM28" s="274"/>
      <c r="BN28" s="366">
        <v>0</v>
      </c>
      <c r="BO28" s="274"/>
      <c r="BP28" s="366">
        <v>0</v>
      </c>
      <c r="BQ28" s="274"/>
      <c r="BR28" s="366">
        <v>0</v>
      </c>
      <c r="BS28" s="274"/>
      <c r="BT28" s="366">
        <v>0</v>
      </c>
      <c r="BU28" s="274"/>
      <c r="BV28" s="366">
        <f t="shared" si="13"/>
        <v>0</v>
      </c>
      <c r="BW28" s="274"/>
      <c r="BX28" s="623">
        <f t="shared" si="19"/>
        <v>0</v>
      </c>
      <c r="BY28" s="274"/>
      <c r="BZ28" s="366">
        <f t="shared" si="14"/>
        <v>0</v>
      </c>
      <c r="CA28" s="274"/>
      <c r="CB28" s="366">
        <f t="shared" si="20"/>
        <v>5000</v>
      </c>
      <c r="CC28" s="274"/>
      <c r="CD28" s="366">
        <v>0</v>
      </c>
      <c r="CE28" s="274"/>
      <c r="CF28" s="366">
        <v>0</v>
      </c>
      <c r="CG28" s="274"/>
      <c r="CH28" s="366">
        <v>0</v>
      </c>
      <c r="CI28" s="274"/>
      <c r="CJ28" s="366"/>
      <c r="CK28" s="274"/>
      <c r="CL28" s="366">
        <v>0</v>
      </c>
      <c r="CM28" s="274"/>
      <c r="CN28" s="366"/>
      <c r="CO28" s="274"/>
      <c r="CP28" s="366">
        <f t="shared" si="15"/>
        <v>0</v>
      </c>
      <c r="CQ28" s="274"/>
      <c r="CR28" s="366">
        <f t="shared" si="23"/>
        <v>0</v>
      </c>
      <c r="CS28" s="274"/>
      <c r="CT28" s="366">
        <v>0</v>
      </c>
      <c r="CU28" s="274"/>
      <c r="CV28" s="366">
        <v>0</v>
      </c>
      <c r="CW28" s="274"/>
      <c r="CX28" s="366">
        <f t="shared" si="16"/>
        <v>260</v>
      </c>
      <c r="CY28" s="274"/>
      <c r="CZ28" s="366">
        <f t="shared" si="17"/>
        <v>6258</v>
      </c>
      <c r="DB28" s="618">
        <f t="shared" si="18"/>
        <v>0</v>
      </c>
    </row>
    <row r="29" spans="1:106" x14ac:dyDescent="0.25">
      <c r="A29" s="369"/>
      <c r="B29" s="369"/>
      <c r="C29" s="369"/>
      <c r="D29" s="369"/>
      <c r="E29" s="369" t="s">
        <v>154</v>
      </c>
      <c r="F29" s="366">
        <v>11.63</v>
      </c>
      <c r="G29" s="274"/>
      <c r="H29" s="623">
        <v>1708</v>
      </c>
      <c r="I29" s="274"/>
      <c r="J29" s="366">
        <v>535.01</v>
      </c>
      <c r="K29" s="274"/>
      <c r="L29" s="623">
        <v>7430</v>
      </c>
      <c r="M29" s="274"/>
      <c r="N29" s="366">
        <f t="shared" si="9"/>
        <v>546.64</v>
      </c>
      <c r="O29" s="274"/>
      <c r="P29" s="366">
        <f t="shared" si="10"/>
        <v>9138</v>
      </c>
      <c r="Q29" s="274"/>
      <c r="R29" s="366">
        <v>40.68</v>
      </c>
      <c r="S29" s="274"/>
      <c r="T29" s="623">
        <v>332</v>
      </c>
      <c r="U29" s="274"/>
      <c r="V29" s="366">
        <v>8.73</v>
      </c>
      <c r="W29" s="274"/>
      <c r="X29" s="366">
        <v>7</v>
      </c>
      <c r="Y29" s="274"/>
      <c r="Z29" s="366">
        <v>0</v>
      </c>
      <c r="AA29" s="274"/>
      <c r="AB29" s="366">
        <v>0</v>
      </c>
      <c r="AC29" s="274"/>
      <c r="AD29" s="366">
        <v>0</v>
      </c>
      <c r="AE29" s="274"/>
      <c r="AF29" s="366"/>
      <c r="AG29" s="274"/>
      <c r="AH29" s="366">
        <f t="shared" si="11"/>
        <v>8.73</v>
      </c>
      <c r="AI29" s="274"/>
      <c r="AJ29" s="631">
        <f t="shared" si="21"/>
        <v>7</v>
      </c>
      <c r="AK29" s="274"/>
      <c r="AL29" s="366">
        <v>34.880000000000003</v>
      </c>
      <c r="AM29" s="274"/>
      <c r="AN29" s="623">
        <v>85</v>
      </c>
      <c r="AO29" s="274"/>
      <c r="AP29" s="366">
        <v>5.82</v>
      </c>
      <c r="AQ29" s="274"/>
      <c r="AR29" s="631">
        <v>287</v>
      </c>
      <c r="AS29" s="274"/>
      <c r="AT29" s="366">
        <v>0</v>
      </c>
      <c r="AU29" s="274"/>
      <c r="AV29" s="366">
        <v>0</v>
      </c>
      <c r="AW29" s="274"/>
      <c r="AX29" s="366">
        <v>101.72</v>
      </c>
      <c r="AY29" s="274"/>
      <c r="AZ29" s="366">
        <v>553</v>
      </c>
      <c r="BA29" s="274"/>
      <c r="BB29" s="366">
        <v>0</v>
      </c>
      <c r="BC29" s="274"/>
      <c r="BD29" s="366"/>
      <c r="BE29" s="274"/>
      <c r="BF29" s="366">
        <f t="shared" si="12"/>
        <v>101.72</v>
      </c>
      <c r="BG29" s="274"/>
      <c r="BH29" s="623">
        <f t="shared" si="22"/>
        <v>553</v>
      </c>
      <c r="BI29" s="274"/>
      <c r="BJ29" s="366">
        <v>0</v>
      </c>
      <c r="BK29" s="274"/>
      <c r="BL29" s="366">
        <v>0</v>
      </c>
      <c r="BM29" s="274"/>
      <c r="BN29" s="366">
        <v>101.65</v>
      </c>
      <c r="BO29" s="274"/>
      <c r="BP29" s="366">
        <v>83</v>
      </c>
      <c r="BQ29" s="274"/>
      <c r="BR29" s="366">
        <v>104.63</v>
      </c>
      <c r="BS29" s="274"/>
      <c r="BT29" s="366">
        <v>744</v>
      </c>
      <c r="BU29" s="274"/>
      <c r="BV29" s="366">
        <f t="shared" si="13"/>
        <v>206.28</v>
      </c>
      <c r="BW29" s="274"/>
      <c r="BX29" s="623">
        <f t="shared" si="19"/>
        <v>827</v>
      </c>
      <c r="BY29" s="274"/>
      <c r="BZ29" s="366">
        <f t="shared" si="14"/>
        <v>357.43</v>
      </c>
      <c r="CA29" s="274"/>
      <c r="CB29" s="366">
        <f t="shared" si="20"/>
        <v>1759</v>
      </c>
      <c r="CC29" s="274"/>
      <c r="CD29" s="366">
        <v>0</v>
      </c>
      <c r="CE29" s="274"/>
      <c r="CF29" s="366"/>
      <c r="CG29" s="274"/>
      <c r="CH29" s="366">
        <v>0</v>
      </c>
      <c r="CI29" s="274"/>
      <c r="CJ29" s="366"/>
      <c r="CK29" s="274"/>
      <c r="CL29" s="366">
        <v>0</v>
      </c>
      <c r="CM29" s="274"/>
      <c r="CN29" s="366"/>
      <c r="CO29" s="274"/>
      <c r="CP29" s="366">
        <f t="shared" si="15"/>
        <v>0</v>
      </c>
      <c r="CQ29" s="274"/>
      <c r="CR29" s="366"/>
      <c r="CS29" s="274"/>
      <c r="CT29" s="366">
        <v>0</v>
      </c>
      <c r="CU29" s="274"/>
      <c r="CV29" s="366">
        <v>0</v>
      </c>
      <c r="CW29" s="274"/>
      <c r="CX29" s="366">
        <f t="shared" si="16"/>
        <v>944.75</v>
      </c>
      <c r="CY29" s="274"/>
      <c r="CZ29" s="366">
        <f t="shared" si="17"/>
        <v>11229</v>
      </c>
      <c r="DB29" s="618">
        <f t="shared" si="18"/>
        <v>294</v>
      </c>
    </row>
    <row r="30" spans="1:106" x14ac:dyDescent="0.25">
      <c r="A30" s="369"/>
      <c r="B30" s="369"/>
      <c r="C30" s="369"/>
      <c r="D30" s="369"/>
      <c r="E30" s="369" t="s">
        <v>155</v>
      </c>
      <c r="F30" s="366">
        <v>0</v>
      </c>
      <c r="G30" s="274"/>
      <c r="H30" s="623"/>
      <c r="I30" s="274"/>
      <c r="J30" s="366">
        <v>4752</v>
      </c>
      <c r="K30" s="274"/>
      <c r="L30" s="623">
        <v>4800</v>
      </c>
      <c r="M30" s="274"/>
      <c r="N30" s="366">
        <f t="shared" si="9"/>
        <v>4752</v>
      </c>
      <c r="O30" s="274"/>
      <c r="P30" s="366">
        <f t="shared" si="10"/>
        <v>4800</v>
      </c>
      <c r="Q30" s="274"/>
      <c r="R30" s="366">
        <v>0</v>
      </c>
      <c r="S30" s="274"/>
      <c r="T30" s="623"/>
      <c r="U30" s="274"/>
      <c r="V30" s="366">
        <v>0</v>
      </c>
      <c r="W30" s="274"/>
      <c r="X30" s="366"/>
      <c r="Y30" s="274"/>
      <c r="Z30" s="366">
        <v>0</v>
      </c>
      <c r="AA30" s="274"/>
      <c r="AB30" s="366"/>
      <c r="AC30" s="274"/>
      <c r="AD30" s="366">
        <v>0</v>
      </c>
      <c r="AE30" s="274"/>
      <c r="AF30" s="366"/>
      <c r="AG30" s="274"/>
      <c r="AH30" s="366">
        <f t="shared" si="11"/>
        <v>0</v>
      </c>
      <c r="AI30" s="274"/>
      <c r="AJ30" s="631"/>
      <c r="AK30" s="274"/>
      <c r="AL30" s="366">
        <v>0</v>
      </c>
      <c r="AM30" s="274"/>
      <c r="AN30" s="623"/>
      <c r="AO30" s="274"/>
      <c r="AP30" s="366">
        <v>0</v>
      </c>
      <c r="AQ30" s="274"/>
      <c r="AR30" s="631"/>
      <c r="AS30" s="274"/>
      <c r="AT30" s="366">
        <v>0</v>
      </c>
      <c r="AU30" s="274"/>
      <c r="AV30" s="366"/>
      <c r="AW30" s="274"/>
      <c r="AX30" s="366">
        <v>0</v>
      </c>
      <c r="AY30" s="274"/>
      <c r="AZ30" s="366"/>
      <c r="BA30" s="274"/>
      <c r="BB30" s="366">
        <v>0</v>
      </c>
      <c r="BC30" s="274"/>
      <c r="BD30" s="366"/>
      <c r="BE30" s="274"/>
      <c r="BF30" s="366">
        <f t="shared" si="12"/>
        <v>0</v>
      </c>
      <c r="BG30" s="274"/>
      <c r="BH30" s="623"/>
      <c r="BI30" s="274"/>
      <c r="BJ30" s="366">
        <v>0</v>
      </c>
      <c r="BK30" s="274"/>
      <c r="BL30" s="366"/>
      <c r="BM30" s="274"/>
      <c r="BN30" s="366">
        <v>0</v>
      </c>
      <c r="BO30" s="274"/>
      <c r="BP30" s="366"/>
      <c r="BQ30" s="274"/>
      <c r="BR30" s="366">
        <v>0</v>
      </c>
      <c r="BS30" s="274"/>
      <c r="BT30" s="366"/>
      <c r="BU30" s="274"/>
      <c r="BV30" s="366">
        <f t="shared" si="13"/>
        <v>0</v>
      </c>
      <c r="BW30" s="274"/>
      <c r="BX30" s="623"/>
      <c r="BY30" s="274"/>
      <c r="BZ30" s="366">
        <f t="shared" si="14"/>
        <v>0</v>
      </c>
      <c r="CA30" s="274"/>
      <c r="CB30" s="366"/>
      <c r="CC30" s="274"/>
      <c r="CD30" s="366">
        <v>0</v>
      </c>
      <c r="CE30" s="274"/>
      <c r="CF30" s="366"/>
      <c r="CG30" s="274"/>
      <c r="CH30" s="366">
        <v>0</v>
      </c>
      <c r="CI30" s="274"/>
      <c r="CJ30" s="366"/>
      <c r="CK30" s="274"/>
      <c r="CL30" s="366">
        <v>0</v>
      </c>
      <c r="CM30" s="274"/>
      <c r="CN30" s="366"/>
      <c r="CO30" s="274"/>
      <c r="CP30" s="366">
        <f t="shared" si="15"/>
        <v>0</v>
      </c>
      <c r="CQ30" s="274"/>
      <c r="CR30" s="366"/>
      <c r="CS30" s="274"/>
      <c r="CT30" s="366">
        <v>0</v>
      </c>
      <c r="CU30" s="274"/>
      <c r="CV30" s="366">
        <v>0</v>
      </c>
      <c r="CW30" s="274"/>
      <c r="CX30" s="366">
        <f t="shared" si="16"/>
        <v>4752</v>
      </c>
      <c r="CY30" s="274"/>
      <c r="CZ30" s="366">
        <f t="shared" si="17"/>
        <v>4800</v>
      </c>
      <c r="DB30" s="618">
        <f t="shared" si="18"/>
        <v>0</v>
      </c>
    </row>
    <row r="31" spans="1:106" x14ac:dyDescent="0.25">
      <c r="A31" s="369"/>
      <c r="B31" s="369"/>
      <c r="C31" s="369"/>
      <c r="D31" s="369"/>
      <c r="E31" s="369" t="s">
        <v>156</v>
      </c>
      <c r="F31" s="366">
        <v>26.07</v>
      </c>
      <c r="G31" s="274"/>
      <c r="H31" s="623">
        <v>293</v>
      </c>
      <c r="I31" s="274"/>
      <c r="J31" s="366">
        <v>75.88</v>
      </c>
      <c r="K31" s="274"/>
      <c r="L31" s="623">
        <v>1028</v>
      </c>
      <c r="M31" s="274"/>
      <c r="N31" s="366">
        <f t="shared" si="9"/>
        <v>101.95</v>
      </c>
      <c r="O31" s="274"/>
      <c r="P31" s="366">
        <f t="shared" si="10"/>
        <v>1321</v>
      </c>
      <c r="Q31" s="274"/>
      <c r="R31" s="366">
        <v>1650.09</v>
      </c>
      <c r="S31" s="274"/>
      <c r="T31" s="623">
        <v>952</v>
      </c>
      <c r="U31" s="274"/>
      <c r="V31" s="366">
        <v>17.8</v>
      </c>
      <c r="W31" s="274"/>
      <c r="X31" s="366">
        <v>220</v>
      </c>
      <c r="Y31" s="274"/>
      <c r="Z31" s="366">
        <v>0</v>
      </c>
      <c r="AA31" s="274"/>
      <c r="AB31" s="366">
        <v>0</v>
      </c>
      <c r="AC31" s="274"/>
      <c r="AD31" s="366">
        <v>0</v>
      </c>
      <c r="AE31" s="274"/>
      <c r="AF31" s="366"/>
      <c r="AG31" s="274"/>
      <c r="AH31" s="366">
        <f t="shared" si="11"/>
        <v>17.8</v>
      </c>
      <c r="AI31" s="274"/>
      <c r="AJ31" s="631">
        <f>ROUND(X31+AB31+AF31,5)</f>
        <v>220</v>
      </c>
      <c r="AK31" s="274"/>
      <c r="AL31" s="366">
        <v>75.86</v>
      </c>
      <c r="AM31" s="274"/>
      <c r="AN31" s="623">
        <v>878</v>
      </c>
      <c r="AO31" s="274"/>
      <c r="AP31" s="366">
        <v>11.86</v>
      </c>
      <c r="AQ31" s="274"/>
      <c r="AR31" s="631">
        <v>146</v>
      </c>
      <c r="AS31" s="274"/>
      <c r="AT31" s="366">
        <v>0</v>
      </c>
      <c r="AU31" s="274"/>
      <c r="AV31" s="366">
        <v>0</v>
      </c>
      <c r="AW31" s="274"/>
      <c r="AX31" s="366">
        <v>228.62</v>
      </c>
      <c r="AY31" s="274"/>
      <c r="AZ31" s="366">
        <v>2562</v>
      </c>
      <c r="BA31" s="274"/>
      <c r="BB31" s="366">
        <v>0</v>
      </c>
      <c r="BC31" s="274"/>
      <c r="BD31" s="366"/>
      <c r="BE31" s="274"/>
      <c r="BF31" s="366">
        <f t="shared" si="12"/>
        <v>228.62</v>
      </c>
      <c r="BG31" s="274"/>
      <c r="BH31" s="623">
        <f>ROUND(AV31+AZ31+BD31,5)</f>
        <v>2562</v>
      </c>
      <c r="BI31" s="274"/>
      <c r="BJ31" s="366">
        <v>300</v>
      </c>
      <c r="BK31" s="274"/>
      <c r="BL31" s="366">
        <v>0</v>
      </c>
      <c r="BM31" s="274"/>
      <c r="BN31" s="366">
        <v>207.73</v>
      </c>
      <c r="BO31" s="274"/>
      <c r="BP31" s="366">
        <v>2562</v>
      </c>
      <c r="BQ31" s="274"/>
      <c r="BR31" s="366">
        <v>1974.51</v>
      </c>
      <c r="BS31" s="274"/>
      <c r="BT31" s="366">
        <v>7822</v>
      </c>
      <c r="BU31" s="274"/>
      <c r="BV31" s="366">
        <f t="shared" si="13"/>
        <v>2482.2399999999998</v>
      </c>
      <c r="BW31" s="274"/>
      <c r="BX31" s="623">
        <f>ROUND(BL31+BP31+BT31,5)</f>
        <v>10384</v>
      </c>
      <c r="BY31" s="274"/>
      <c r="BZ31" s="366">
        <f t="shared" si="14"/>
        <v>2816.38</v>
      </c>
      <c r="CA31" s="274"/>
      <c r="CB31" s="366">
        <f>ROUND(AJ31+AN31+AR31+BH31+BX31,5)</f>
        <v>14190</v>
      </c>
      <c r="CC31" s="274"/>
      <c r="CD31" s="366">
        <v>0</v>
      </c>
      <c r="CE31" s="274"/>
      <c r="CF31" s="366">
        <v>0</v>
      </c>
      <c r="CG31" s="274"/>
      <c r="CH31" s="366">
        <v>0</v>
      </c>
      <c r="CI31" s="274"/>
      <c r="CJ31" s="366"/>
      <c r="CK31" s="274"/>
      <c r="CL31" s="366">
        <v>0</v>
      </c>
      <c r="CM31" s="274"/>
      <c r="CN31" s="366"/>
      <c r="CO31" s="274"/>
      <c r="CP31" s="366">
        <f t="shared" si="15"/>
        <v>0</v>
      </c>
      <c r="CQ31" s="274"/>
      <c r="CR31" s="366">
        <f>ROUND(CF31+CJ31+CN31,5)</f>
        <v>0</v>
      </c>
      <c r="CS31" s="274"/>
      <c r="CT31" s="366">
        <v>0</v>
      </c>
      <c r="CU31" s="274"/>
      <c r="CV31" s="366">
        <v>0</v>
      </c>
      <c r="CW31" s="274"/>
      <c r="CX31" s="366">
        <f t="shared" si="16"/>
        <v>4568.42</v>
      </c>
      <c r="CY31" s="274"/>
      <c r="CZ31" s="366">
        <f t="shared" si="17"/>
        <v>16463</v>
      </c>
      <c r="DB31" s="618">
        <f t="shared" si="18"/>
        <v>366</v>
      </c>
    </row>
    <row r="32" spans="1:106" x14ac:dyDescent="0.25">
      <c r="A32" s="369"/>
      <c r="B32" s="369"/>
      <c r="C32" s="369"/>
      <c r="D32" s="369"/>
      <c r="E32" s="369" t="s">
        <v>157</v>
      </c>
      <c r="F32" s="366">
        <v>3.72</v>
      </c>
      <c r="G32" s="274"/>
      <c r="H32" s="623">
        <v>350</v>
      </c>
      <c r="I32" s="274"/>
      <c r="J32" s="366">
        <v>86.16</v>
      </c>
      <c r="K32" s="274"/>
      <c r="L32" s="623">
        <v>1051</v>
      </c>
      <c r="M32" s="274"/>
      <c r="N32" s="366">
        <f t="shared" si="9"/>
        <v>89.88</v>
      </c>
      <c r="O32" s="274"/>
      <c r="P32" s="366">
        <f t="shared" si="10"/>
        <v>1401</v>
      </c>
      <c r="Q32" s="274"/>
      <c r="R32" s="366">
        <v>13.02</v>
      </c>
      <c r="S32" s="274"/>
      <c r="T32" s="623">
        <v>2138</v>
      </c>
      <c r="U32" s="274"/>
      <c r="V32" s="366">
        <v>2.79</v>
      </c>
      <c r="W32" s="274"/>
      <c r="X32" s="366">
        <v>263</v>
      </c>
      <c r="Y32" s="274"/>
      <c r="Z32" s="366">
        <v>0</v>
      </c>
      <c r="AA32" s="274"/>
      <c r="AB32" s="366">
        <v>0</v>
      </c>
      <c r="AC32" s="274"/>
      <c r="AD32" s="366">
        <v>0</v>
      </c>
      <c r="AE32" s="274"/>
      <c r="AF32" s="366"/>
      <c r="AG32" s="274"/>
      <c r="AH32" s="366">
        <f t="shared" si="11"/>
        <v>2.79</v>
      </c>
      <c r="AI32" s="274"/>
      <c r="AJ32" s="631">
        <f>ROUND(X32+AB32+AF32,5)</f>
        <v>263</v>
      </c>
      <c r="AK32" s="274"/>
      <c r="AL32" s="366">
        <v>11.16</v>
      </c>
      <c r="AM32" s="274"/>
      <c r="AN32" s="623">
        <v>1051</v>
      </c>
      <c r="AO32" s="274"/>
      <c r="AP32" s="366">
        <v>1.86</v>
      </c>
      <c r="AQ32" s="274"/>
      <c r="AR32" s="631">
        <v>175</v>
      </c>
      <c r="AS32" s="274"/>
      <c r="AT32" s="366">
        <v>0</v>
      </c>
      <c r="AU32" s="274"/>
      <c r="AV32" s="366">
        <v>0</v>
      </c>
      <c r="AW32" s="274"/>
      <c r="AX32" s="366">
        <v>2532.56</v>
      </c>
      <c r="AY32" s="274"/>
      <c r="AZ32" s="366">
        <v>19865</v>
      </c>
      <c r="BA32" s="274"/>
      <c r="BB32" s="366">
        <v>0</v>
      </c>
      <c r="BC32" s="274"/>
      <c r="BD32" s="366"/>
      <c r="BE32" s="274"/>
      <c r="BF32" s="366">
        <f t="shared" si="12"/>
        <v>2532.56</v>
      </c>
      <c r="BG32" s="274"/>
      <c r="BH32" s="623">
        <f>ROUND(AV32+AZ32+BD32,5)</f>
        <v>19865</v>
      </c>
      <c r="BI32" s="274"/>
      <c r="BJ32" s="366">
        <v>0</v>
      </c>
      <c r="BK32" s="274"/>
      <c r="BL32" s="366">
        <v>2400</v>
      </c>
      <c r="BM32" s="274"/>
      <c r="BN32" s="366">
        <v>32.57</v>
      </c>
      <c r="BO32" s="274"/>
      <c r="BP32" s="366">
        <v>3065</v>
      </c>
      <c r="BQ32" s="274"/>
      <c r="BR32" s="366">
        <v>33.49</v>
      </c>
      <c r="BS32" s="274"/>
      <c r="BT32" s="366">
        <v>3152</v>
      </c>
      <c r="BU32" s="274"/>
      <c r="BV32" s="366">
        <f t="shared" si="13"/>
        <v>66.06</v>
      </c>
      <c r="BW32" s="274"/>
      <c r="BX32" s="623">
        <f>ROUND(BL32+BP32+BT32,5)</f>
        <v>8617</v>
      </c>
      <c r="BY32" s="274"/>
      <c r="BZ32" s="366">
        <f t="shared" si="14"/>
        <v>2614.4299999999998</v>
      </c>
      <c r="CA32" s="274"/>
      <c r="CB32" s="366">
        <f>ROUND(AJ32+AN32+AR32+BH32+BX32,5)</f>
        <v>29971</v>
      </c>
      <c r="CC32" s="274"/>
      <c r="CD32" s="366">
        <v>0</v>
      </c>
      <c r="CE32" s="274"/>
      <c r="CF32" s="366">
        <v>0</v>
      </c>
      <c r="CG32" s="274"/>
      <c r="CH32" s="366">
        <v>0</v>
      </c>
      <c r="CI32" s="274"/>
      <c r="CJ32" s="366">
        <v>0</v>
      </c>
      <c r="CK32" s="274"/>
      <c r="CL32" s="366">
        <v>0</v>
      </c>
      <c r="CM32" s="274"/>
      <c r="CN32" s="366"/>
      <c r="CO32" s="274"/>
      <c r="CP32" s="366">
        <f t="shared" si="15"/>
        <v>0</v>
      </c>
      <c r="CQ32" s="274"/>
      <c r="CR32" s="366">
        <f>ROUND(CF32+CJ32+CN32,5)</f>
        <v>0</v>
      </c>
      <c r="CS32" s="274"/>
      <c r="CT32" s="366">
        <v>0</v>
      </c>
      <c r="CU32" s="274"/>
      <c r="CV32" s="366">
        <v>0</v>
      </c>
      <c r="CW32" s="274"/>
      <c r="CX32" s="366">
        <f t="shared" si="16"/>
        <v>2717.33</v>
      </c>
      <c r="CY32" s="274"/>
      <c r="CZ32" s="366">
        <f t="shared" si="17"/>
        <v>33510</v>
      </c>
      <c r="DB32" s="618">
        <f t="shared" si="18"/>
        <v>438</v>
      </c>
    </row>
    <row r="33" spans="1:106" x14ac:dyDescent="0.25">
      <c r="A33" s="369"/>
      <c r="B33" s="369"/>
      <c r="C33" s="369"/>
      <c r="D33" s="369"/>
      <c r="E33" s="369" t="s">
        <v>158</v>
      </c>
      <c r="F33" s="366">
        <v>0</v>
      </c>
      <c r="G33" s="274"/>
      <c r="H33" s="623"/>
      <c r="I33" s="274"/>
      <c r="J33" s="366">
        <v>0</v>
      </c>
      <c r="K33" s="274"/>
      <c r="L33" s="623"/>
      <c r="M33" s="274"/>
      <c r="N33" s="366">
        <f t="shared" si="9"/>
        <v>0</v>
      </c>
      <c r="O33" s="274"/>
      <c r="P33" s="366"/>
      <c r="Q33" s="274"/>
      <c r="R33" s="366">
        <v>0</v>
      </c>
      <c r="S33" s="274"/>
      <c r="T33" s="623"/>
      <c r="U33" s="274"/>
      <c r="V33" s="366">
        <v>0</v>
      </c>
      <c r="W33" s="274"/>
      <c r="X33" s="366"/>
      <c r="Y33" s="274"/>
      <c r="Z33" s="366">
        <v>0</v>
      </c>
      <c r="AA33" s="274"/>
      <c r="AB33" s="366"/>
      <c r="AC33" s="274"/>
      <c r="AD33" s="366">
        <v>0</v>
      </c>
      <c r="AE33" s="274"/>
      <c r="AF33" s="366"/>
      <c r="AG33" s="274"/>
      <c r="AH33" s="366">
        <f t="shared" si="11"/>
        <v>0</v>
      </c>
      <c r="AI33" s="274"/>
      <c r="AJ33" s="631"/>
      <c r="AK33" s="274"/>
      <c r="AL33" s="366">
        <v>0</v>
      </c>
      <c r="AM33" s="274"/>
      <c r="AN33" s="623"/>
      <c r="AO33" s="274"/>
      <c r="AP33" s="366">
        <v>0</v>
      </c>
      <c r="AQ33" s="274"/>
      <c r="AR33" s="631"/>
      <c r="AS33" s="274"/>
      <c r="AT33" s="366">
        <v>0</v>
      </c>
      <c r="AU33" s="274"/>
      <c r="AV33" s="366"/>
      <c r="AW33" s="274"/>
      <c r="AX33" s="366">
        <v>2672.23</v>
      </c>
      <c r="AY33" s="274"/>
      <c r="AZ33" s="366">
        <v>6000</v>
      </c>
      <c r="BA33" s="274"/>
      <c r="BB33" s="366">
        <v>0</v>
      </c>
      <c r="BC33" s="274"/>
      <c r="BD33" s="366"/>
      <c r="BE33" s="274"/>
      <c r="BF33" s="366">
        <f t="shared" si="12"/>
        <v>2672.23</v>
      </c>
      <c r="BG33" s="274"/>
      <c r="BH33" s="623">
        <f>ROUND(AV33+AZ33+BD33,5)</f>
        <v>6000</v>
      </c>
      <c r="BI33" s="274"/>
      <c r="BJ33" s="366">
        <v>0</v>
      </c>
      <c r="BK33" s="274"/>
      <c r="BL33" s="366"/>
      <c r="BM33" s="274"/>
      <c r="BN33" s="366">
        <v>0</v>
      </c>
      <c r="BO33" s="274"/>
      <c r="BP33" s="366"/>
      <c r="BQ33" s="274"/>
      <c r="BR33" s="366">
        <v>0</v>
      </c>
      <c r="BS33" s="274"/>
      <c r="BT33" s="366"/>
      <c r="BU33" s="274"/>
      <c r="BV33" s="366">
        <f t="shared" si="13"/>
        <v>0</v>
      </c>
      <c r="BW33" s="274"/>
      <c r="BX33" s="623"/>
      <c r="BY33" s="274"/>
      <c r="BZ33" s="366">
        <f t="shared" si="14"/>
        <v>2672.23</v>
      </c>
      <c r="CA33" s="274"/>
      <c r="CB33" s="366">
        <f>ROUND(AJ33+AN33+AR33+BH33+BX33,5)</f>
        <v>6000</v>
      </c>
      <c r="CC33" s="274"/>
      <c r="CD33" s="366">
        <v>0</v>
      </c>
      <c r="CE33" s="274"/>
      <c r="CF33" s="366"/>
      <c r="CG33" s="274"/>
      <c r="CH33" s="366">
        <v>0</v>
      </c>
      <c r="CI33" s="274"/>
      <c r="CJ33" s="366"/>
      <c r="CK33" s="274"/>
      <c r="CL33" s="366">
        <v>0</v>
      </c>
      <c r="CM33" s="274"/>
      <c r="CN33" s="366"/>
      <c r="CO33" s="274"/>
      <c r="CP33" s="366">
        <f t="shared" si="15"/>
        <v>0</v>
      </c>
      <c r="CQ33" s="274"/>
      <c r="CR33" s="366"/>
      <c r="CS33" s="274"/>
      <c r="CT33" s="366">
        <v>0</v>
      </c>
      <c r="CU33" s="274"/>
      <c r="CV33" s="366">
        <v>0</v>
      </c>
      <c r="CW33" s="274"/>
      <c r="CX33" s="366">
        <f t="shared" si="16"/>
        <v>2672.23</v>
      </c>
      <c r="CY33" s="274"/>
      <c r="CZ33" s="366">
        <f t="shared" si="17"/>
        <v>6000</v>
      </c>
      <c r="DB33" s="618">
        <f t="shared" si="18"/>
        <v>0</v>
      </c>
    </row>
    <row r="34" spans="1:106" ht="15.75" thickBot="1" x14ac:dyDescent="0.3">
      <c r="A34" s="369"/>
      <c r="B34" s="369"/>
      <c r="C34" s="369"/>
      <c r="D34" s="369"/>
      <c r="E34" s="369" t="s">
        <v>435</v>
      </c>
      <c r="F34" s="365">
        <v>0</v>
      </c>
      <c r="G34" s="274"/>
      <c r="H34" s="625"/>
      <c r="I34" s="274"/>
      <c r="J34" s="365">
        <v>0</v>
      </c>
      <c r="K34" s="274"/>
      <c r="L34" s="625"/>
      <c r="M34" s="274"/>
      <c r="N34" s="365">
        <f t="shared" si="9"/>
        <v>0</v>
      </c>
      <c r="O34" s="274"/>
      <c r="P34" s="365"/>
      <c r="Q34" s="274"/>
      <c r="R34" s="365">
        <v>0</v>
      </c>
      <c r="S34" s="274"/>
      <c r="T34" s="625"/>
      <c r="U34" s="274"/>
      <c r="V34" s="365">
        <v>0</v>
      </c>
      <c r="W34" s="274"/>
      <c r="X34" s="365"/>
      <c r="Y34" s="274"/>
      <c r="Z34" s="365">
        <v>0</v>
      </c>
      <c r="AA34" s="274"/>
      <c r="AB34" s="365"/>
      <c r="AC34" s="274"/>
      <c r="AD34" s="365">
        <v>0</v>
      </c>
      <c r="AE34" s="274"/>
      <c r="AF34" s="365"/>
      <c r="AG34" s="274"/>
      <c r="AH34" s="365">
        <f t="shared" si="11"/>
        <v>0</v>
      </c>
      <c r="AI34" s="274"/>
      <c r="AJ34" s="635"/>
      <c r="AK34" s="274"/>
      <c r="AL34" s="365">
        <v>0</v>
      </c>
      <c r="AM34" s="274"/>
      <c r="AN34" s="625"/>
      <c r="AO34" s="274"/>
      <c r="AP34" s="365">
        <v>0</v>
      </c>
      <c r="AQ34" s="274"/>
      <c r="AR34" s="635"/>
      <c r="AS34" s="274"/>
      <c r="AT34" s="365">
        <v>0</v>
      </c>
      <c r="AU34" s="274"/>
      <c r="AV34" s="365"/>
      <c r="AW34" s="274"/>
      <c r="AX34" s="365">
        <v>724.38</v>
      </c>
      <c r="AY34" s="274"/>
      <c r="AZ34" s="365"/>
      <c r="BA34" s="274"/>
      <c r="BB34" s="365">
        <v>0</v>
      </c>
      <c r="BC34" s="274"/>
      <c r="BD34" s="366"/>
      <c r="BE34" s="274"/>
      <c r="BF34" s="365">
        <f t="shared" si="12"/>
        <v>724.38</v>
      </c>
      <c r="BG34" s="274"/>
      <c r="BH34" s="625"/>
      <c r="BI34" s="274"/>
      <c r="BJ34" s="365">
        <v>0</v>
      </c>
      <c r="BK34" s="274"/>
      <c r="BL34" s="365"/>
      <c r="BM34" s="274"/>
      <c r="BN34" s="365">
        <v>0</v>
      </c>
      <c r="BO34" s="274"/>
      <c r="BP34" s="365"/>
      <c r="BQ34" s="274"/>
      <c r="BR34" s="365">
        <v>0</v>
      </c>
      <c r="BS34" s="274"/>
      <c r="BT34" s="365"/>
      <c r="BU34" s="274"/>
      <c r="BV34" s="365">
        <f t="shared" si="13"/>
        <v>0</v>
      </c>
      <c r="BW34" s="274"/>
      <c r="BX34" s="625"/>
      <c r="BY34" s="274"/>
      <c r="BZ34" s="365">
        <f t="shared" si="14"/>
        <v>724.38</v>
      </c>
      <c r="CA34" s="274"/>
      <c r="CB34" s="365"/>
      <c r="CC34" s="274"/>
      <c r="CD34" s="365">
        <v>0</v>
      </c>
      <c r="CE34" s="274"/>
      <c r="CF34" s="365"/>
      <c r="CG34" s="274"/>
      <c r="CH34" s="365">
        <v>0</v>
      </c>
      <c r="CI34" s="274"/>
      <c r="CJ34" s="365"/>
      <c r="CK34" s="274"/>
      <c r="CL34" s="365">
        <v>0</v>
      </c>
      <c r="CM34" s="274"/>
      <c r="CN34" s="365"/>
      <c r="CO34" s="274"/>
      <c r="CP34" s="365">
        <f t="shared" si="15"/>
        <v>0</v>
      </c>
      <c r="CQ34" s="274"/>
      <c r="CR34" s="365"/>
      <c r="CS34" s="274"/>
      <c r="CT34" s="365">
        <v>0</v>
      </c>
      <c r="CU34" s="274"/>
      <c r="CV34" s="365">
        <v>0</v>
      </c>
      <c r="CW34" s="274"/>
      <c r="CX34" s="365">
        <f t="shared" si="16"/>
        <v>724.38</v>
      </c>
      <c r="CY34" s="274"/>
      <c r="CZ34" s="365">
        <f t="shared" si="17"/>
        <v>0</v>
      </c>
      <c r="DB34" s="618">
        <f t="shared" si="18"/>
        <v>0</v>
      </c>
    </row>
    <row r="35" spans="1:106" ht="15.75" thickBot="1" x14ac:dyDescent="0.3">
      <c r="A35" s="369"/>
      <c r="B35" s="369"/>
      <c r="C35" s="369"/>
      <c r="D35" s="369" t="s">
        <v>56</v>
      </c>
      <c r="E35" s="369"/>
      <c r="F35" s="277">
        <f>ROUND(SUM(F16:F34),5)</f>
        <v>2797.38</v>
      </c>
      <c r="G35" s="274"/>
      <c r="H35" s="636">
        <f>ROUND(SUM(H16:H34),5)</f>
        <v>22673</v>
      </c>
      <c r="I35" s="274"/>
      <c r="J35" s="277">
        <f>ROUND(SUM(J16:J34),5)</f>
        <v>12716.62</v>
      </c>
      <c r="K35" s="274"/>
      <c r="L35" s="636">
        <f>ROUND(SUM(L16:L34),5)</f>
        <v>51215</v>
      </c>
      <c r="M35" s="274"/>
      <c r="N35" s="277">
        <f t="shared" si="9"/>
        <v>15514</v>
      </c>
      <c r="O35" s="274"/>
      <c r="P35" s="277">
        <f>ROUND(H35+L35,5)</f>
        <v>73888</v>
      </c>
      <c r="Q35" s="274"/>
      <c r="R35" s="277">
        <f>ROUND(SUM(R16:R34),5)</f>
        <v>14475.69</v>
      </c>
      <c r="S35" s="274"/>
      <c r="T35" s="636">
        <f>ROUND(SUM(T16:T34),5)</f>
        <v>51020</v>
      </c>
      <c r="U35" s="274"/>
      <c r="V35" s="277">
        <f>ROUND(SUM(V16:V34),5)</f>
        <v>1323.31</v>
      </c>
      <c r="W35" s="274"/>
      <c r="X35" s="277">
        <f>ROUND(SUM(X16:X34),5)</f>
        <v>7148</v>
      </c>
      <c r="Y35" s="274"/>
      <c r="Z35" s="277">
        <f>ROUND(SUM(Z16:Z34),5)</f>
        <v>0</v>
      </c>
      <c r="AA35" s="274"/>
      <c r="AB35" s="277">
        <f>ROUND(SUM(AB16:AB34),5)</f>
        <v>0</v>
      </c>
      <c r="AC35" s="274"/>
      <c r="AD35" s="277">
        <f>ROUND(SUM(AD16:AD34),5)</f>
        <v>0</v>
      </c>
      <c r="AE35" s="274"/>
      <c r="AF35" s="277">
        <f>ROUND(SUM(AF16:AF34),5)</f>
        <v>0</v>
      </c>
      <c r="AG35" s="274"/>
      <c r="AH35" s="277">
        <f t="shared" si="11"/>
        <v>1323.31</v>
      </c>
      <c r="AI35" s="274"/>
      <c r="AJ35" s="637">
        <f>ROUND(X35+AB35+AF35,5)</f>
        <v>7148</v>
      </c>
      <c r="AK35" s="274"/>
      <c r="AL35" s="277">
        <f>ROUND(SUM(AL16:AL34),5)</f>
        <v>6624.6</v>
      </c>
      <c r="AM35" s="274"/>
      <c r="AN35" s="636">
        <f>ROUND(SUM(AN16:AN34),5)</f>
        <v>137577</v>
      </c>
      <c r="AO35" s="274"/>
      <c r="AP35" s="277">
        <f>ROUND(SUM(AP16:AP34),5)</f>
        <v>558.04999999999995</v>
      </c>
      <c r="AQ35" s="274"/>
      <c r="AR35" s="637">
        <f>ROUND(SUM(AR16:AR34),5)</f>
        <v>4581</v>
      </c>
      <c r="AS35" s="274"/>
      <c r="AT35" s="277">
        <f>ROUND(SUM(AT16:AT34),5)</f>
        <v>0</v>
      </c>
      <c r="AU35" s="274"/>
      <c r="AV35" s="277">
        <f>ROUND(SUM(AV16:AV34),5)</f>
        <v>0</v>
      </c>
      <c r="AW35" s="274"/>
      <c r="AX35" s="277">
        <f>ROUND(SUM(AX16:AX34),5)</f>
        <v>18743.09</v>
      </c>
      <c r="AY35" s="274"/>
      <c r="AZ35" s="277">
        <f>ROUND(SUM(AZ16:AZ34),5)</f>
        <v>92441</v>
      </c>
      <c r="BA35" s="274"/>
      <c r="BB35" s="277">
        <f>ROUND(SUM(BB16:BB34),5)</f>
        <v>0</v>
      </c>
      <c r="BC35" s="274"/>
      <c r="BD35" s="365"/>
      <c r="BE35" s="274"/>
      <c r="BF35" s="277">
        <f t="shared" si="12"/>
        <v>18743.09</v>
      </c>
      <c r="BG35" s="274"/>
      <c r="BH35" s="636">
        <f>ROUND(AV35+AZ35+BD35,5)</f>
        <v>92441</v>
      </c>
      <c r="BI35" s="274"/>
      <c r="BJ35" s="277">
        <f>ROUND(SUM(BJ16:BJ34),5)</f>
        <v>4904.1000000000004</v>
      </c>
      <c r="BK35" s="274"/>
      <c r="BL35" s="277">
        <f>ROUND(SUM(BL16:BL34),5)</f>
        <v>2700</v>
      </c>
      <c r="BM35" s="274"/>
      <c r="BN35" s="277">
        <f>ROUND(SUM(BN16:BN34),5)</f>
        <v>11807.36</v>
      </c>
      <c r="BO35" s="274"/>
      <c r="BP35" s="277">
        <f>ROUND(SUM(BP16:BP34),5)</f>
        <v>52531</v>
      </c>
      <c r="BQ35" s="274"/>
      <c r="BR35" s="277">
        <f>ROUND(SUM(BR16:BR34),5)</f>
        <v>33050.6</v>
      </c>
      <c r="BS35" s="274"/>
      <c r="BT35" s="277">
        <f>ROUND(SUM(BT16:BT34),5)</f>
        <v>125352</v>
      </c>
      <c r="BU35" s="274"/>
      <c r="BV35" s="277">
        <f t="shared" si="13"/>
        <v>49762.06</v>
      </c>
      <c r="BW35" s="274"/>
      <c r="BX35" s="636">
        <f>ROUND(BL35+BP35+BT35,5)</f>
        <v>180583</v>
      </c>
      <c r="BY35" s="274"/>
      <c r="BZ35" s="277">
        <f t="shared" si="14"/>
        <v>77011.11</v>
      </c>
      <c r="CA35" s="274"/>
      <c r="CB35" s="277">
        <f>ROUND(AJ35+AN35+AR35+BH35+BX35,5)</f>
        <v>422330</v>
      </c>
      <c r="CC35" s="274"/>
      <c r="CD35" s="277">
        <f>ROUND(SUM(CD16:CD34),5)</f>
        <v>0</v>
      </c>
      <c r="CE35" s="274"/>
      <c r="CF35" s="277">
        <f>ROUND(SUM(CF16:CF34),5)</f>
        <v>0</v>
      </c>
      <c r="CG35" s="274"/>
      <c r="CH35" s="277">
        <f>ROUND(SUM(CH16:CH34),5)</f>
        <v>0</v>
      </c>
      <c r="CI35" s="274"/>
      <c r="CJ35" s="277">
        <f>ROUND(SUM(CJ16:CJ34),5)</f>
        <v>0</v>
      </c>
      <c r="CK35" s="274"/>
      <c r="CL35" s="277">
        <f>ROUND(SUM(CL16:CL34),5)</f>
        <v>0</v>
      </c>
      <c r="CM35" s="274"/>
      <c r="CN35" s="277">
        <f>ROUND(SUM(CN16:CN34),5)</f>
        <v>0</v>
      </c>
      <c r="CO35" s="274"/>
      <c r="CP35" s="277">
        <f t="shared" si="15"/>
        <v>0</v>
      </c>
      <c r="CQ35" s="274"/>
      <c r="CR35" s="277">
        <f>ROUND(CF35+CJ35+CN35,5)</f>
        <v>0</v>
      </c>
      <c r="CS35" s="274"/>
      <c r="CT35" s="277">
        <f>ROUND(SUM(CT16:CT34),5)</f>
        <v>0</v>
      </c>
      <c r="CU35" s="274"/>
      <c r="CV35" s="277">
        <f>ROUND(SUM(CV16:CV34),5)</f>
        <v>0</v>
      </c>
      <c r="CW35" s="274"/>
      <c r="CX35" s="277">
        <f t="shared" si="16"/>
        <v>107000.8</v>
      </c>
      <c r="CY35" s="274"/>
      <c r="CZ35" s="277">
        <f t="shared" si="17"/>
        <v>547238</v>
      </c>
      <c r="DB35" s="618">
        <f>+AR35+AJ35</f>
        <v>11729</v>
      </c>
    </row>
    <row r="36" spans="1:106" ht="15.75" thickBot="1" x14ac:dyDescent="0.3">
      <c r="A36" s="369"/>
      <c r="B36" s="369" t="s">
        <v>159</v>
      </c>
      <c r="C36" s="369"/>
      <c r="D36" s="369"/>
      <c r="E36" s="369"/>
      <c r="F36" s="277">
        <f>ROUND(F4+F15-F35,5)</f>
        <v>-2797.38</v>
      </c>
      <c r="G36" s="274"/>
      <c r="H36" s="636">
        <f>ROUND(H4+H15-H35,5)</f>
        <v>-22673</v>
      </c>
      <c r="I36" s="274"/>
      <c r="J36" s="277">
        <f>ROUND(J4+J15-J35,5)</f>
        <v>98802.14</v>
      </c>
      <c r="K36" s="274"/>
      <c r="L36" s="636">
        <f>ROUND(L4+L15-L35,5)</f>
        <v>142795</v>
      </c>
      <c r="M36" s="274"/>
      <c r="N36" s="277">
        <f t="shared" si="9"/>
        <v>96004.76</v>
      </c>
      <c r="O36" s="274"/>
      <c r="P36" s="277">
        <f>ROUND(H36+L36,5)</f>
        <v>120122</v>
      </c>
      <c r="Q36" s="274"/>
      <c r="R36" s="277">
        <f>ROUND(R4+R15-R35,5)</f>
        <v>25546.75</v>
      </c>
      <c r="S36" s="274"/>
      <c r="T36" s="636">
        <f>ROUND(T4+T15-T35,5)</f>
        <v>21980</v>
      </c>
      <c r="U36" s="274"/>
      <c r="V36" s="277">
        <f>ROUND(V4+V15-V35,5)</f>
        <v>-1323.31</v>
      </c>
      <c r="W36" s="274"/>
      <c r="X36" s="277">
        <f>ROUND(X4+X15-X35,5)</f>
        <v>-7148</v>
      </c>
      <c r="Y36" s="274"/>
      <c r="Z36" s="277">
        <f>ROUND(Z4+Z15-Z35,5)</f>
        <v>0</v>
      </c>
      <c r="AA36" s="274"/>
      <c r="AB36" s="277">
        <f>ROUND(AB4+AB15-AB35,5)</f>
        <v>0</v>
      </c>
      <c r="AC36" s="274"/>
      <c r="AD36" s="277">
        <f>ROUND(AD4+AD15-AD35,5)</f>
        <v>0</v>
      </c>
      <c r="AE36" s="274"/>
      <c r="AF36" s="277">
        <f>ROUND(AF4+AF15-AF35,5)</f>
        <v>0</v>
      </c>
      <c r="AG36" s="274"/>
      <c r="AH36" s="277">
        <f t="shared" si="11"/>
        <v>-1323.31</v>
      </c>
      <c r="AI36" s="274"/>
      <c r="AJ36" s="637">
        <f>ROUND(X36+AB36+AF36,5)</f>
        <v>-7148</v>
      </c>
      <c r="AK36" s="274"/>
      <c r="AL36" s="277">
        <f>ROUND(AL4+AL15-AL35,5)</f>
        <v>-6624.6</v>
      </c>
      <c r="AM36" s="274"/>
      <c r="AN36" s="636">
        <f>ROUND(AN4+AN15-AN35,5)</f>
        <v>-2577</v>
      </c>
      <c r="AO36" s="274"/>
      <c r="AP36" s="277">
        <f>ROUND(AP4+AP15-AP35,5)</f>
        <v>-558.04999999999995</v>
      </c>
      <c r="AQ36" s="274"/>
      <c r="AR36" s="637">
        <f>ROUND(AR4+AR15-AR35,5)</f>
        <v>-4581</v>
      </c>
      <c r="AS36" s="274"/>
      <c r="AT36" s="277">
        <f>ROUND(AT4+AT15-AT35,5)</f>
        <v>2704.76</v>
      </c>
      <c r="AU36" s="274"/>
      <c r="AV36" s="277">
        <f>ROUND(AV4+AV15-AV35,5)</f>
        <v>0</v>
      </c>
      <c r="AW36" s="274"/>
      <c r="AX36" s="277">
        <f>ROUND(AX4+AX15-AX35,5)</f>
        <v>22321.64</v>
      </c>
      <c r="AY36" s="274"/>
      <c r="AZ36" s="277">
        <f>ROUND(AZ4+AZ15-AZ35,5)</f>
        <v>21059</v>
      </c>
      <c r="BA36" s="274"/>
      <c r="BB36" s="277">
        <f>ROUND(BB4+BB15-BB35,5)</f>
        <v>0</v>
      </c>
      <c r="BC36" s="274"/>
      <c r="BD36" s="277">
        <f>ROUND(BD4+BD15-BD35,5)</f>
        <v>0</v>
      </c>
      <c r="BE36" s="274"/>
      <c r="BF36" s="277">
        <f t="shared" si="12"/>
        <v>25026.400000000001</v>
      </c>
      <c r="BG36" s="274"/>
      <c r="BH36" s="636">
        <f>ROUND(AV36+AZ36+BD36,5)</f>
        <v>21059</v>
      </c>
      <c r="BI36" s="274"/>
      <c r="BJ36" s="277">
        <f>ROUND(BJ4+BJ15-BJ35,5)</f>
        <v>-3804.1</v>
      </c>
      <c r="BK36" s="274"/>
      <c r="BL36" s="277">
        <f>ROUND(BL4+BL15-BL35,5)</f>
        <v>-2700</v>
      </c>
      <c r="BM36" s="274"/>
      <c r="BN36" s="277">
        <f>ROUND(BN4+BN15-BN35,5)</f>
        <v>-8712.36</v>
      </c>
      <c r="BO36" s="274"/>
      <c r="BP36" s="277">
        <f>ROUND(BP4+BP15-BP35,5)</f>
        <v>-27531</v>
      </c>
      <c r="BQ36" s="274"/>
      <c r="BR36" s="277">
        <f>ROUND(BR4+BR15-BR35,5)</f>
        <v>-33050.6</v>
      </c>
      <c r="BS36" s="274"/>
      <c r="BT36" s="277">
        <f>ROUND(BT4+BT15-BT35,5)</f>
        <v>-113352</v>
      </c>
      <c r="BU36" s="274"/>
      <c r="BV36" s="277">
        <f t="shared" si="13"/>
        <v>-45567.06</v>
      </c>
      <c r="BW36" s="274"/>
      <c r="BX36" s="636">
        <f>ROUND(BL36+BP36+BT36,5)</f>
        <v>-143583</v>
      </c>
      <c r="BY36" s="274"/>
      <c r="BZ36" s="277">
        <f t="shared" si="14"/>
        <v>-29046.62</v>
      </c>
      <c r="CA36" s="274"/>
      <c r="CB36" s="277">
        <f>ROUND(AJ36+AN36+AR36+BH36+BX36,5)</f>
        <v>-136830</v>
      </c>
      <c r="CC36" s="274"/>
      <c r="CD36" s="277">
        <f>ROUND(CD4+CD15-CD35,5)</f>
        <v>0</v>
      </c>
      <c r="CE36" s="274"/>
      <c r="CF36" s="277">
        <f>ROUND(CF4+CF15-CF35,5)</f>
        <v>0</v>
      </c>
      <c r="CG36" s="274"/>
      <c r="CH36" s="277">
        <f>ROUND(CH4+CH15-CH35,5)</f>
        <v>0</v>
      </c>
      <c r="CI36" s="274"/>
      <c r="CJ36" s="277">
        <f>ROUND(CJ4+CJ15-CJ35,5)</f>
        <v>0</v>
      </c>
      <c r="CK36" s="274"/>
      <c r="CL36" s="277">
        <f>ROUND(CL4+CL15-CL35,5)</f>
        <v>0</v>
      </c>
      <c r="CM36" s="274"/>
      <c r="CN36" s="277">
        <f>ROUND(CN4+CN15-CN35,5)</f>
        <v>0</v>
      </c>
      <c r="CO36" s="274"/>
      <c r="CP36" s="277">
        <f t="shared" si="15"/>
        <v>0</v>
      </c>
      <c r="CQ36" s="274"/>
      <c r="CR36" s="277">
        <f>ROUND(CF36+CJ36+CN36,5)</f>
        <v>0</v>
      </c>
      <c r="CS36" s="274"/>
      <c r="CT36" s="277">
        <f>ROUND(CT4+CT15-CT35,5)</f>
        <v>0</v>
      </c>
      <c r="CU36" s="274"/>
      <c r="CV36" s="277">
        <f>ROUND(CV4+CV15-CV35,5)</f>
        <v>0</v>
      </c>
      <c r="CW36" s="274"/>
      <c r="CX36" s="277">
        <f t="shared" si="16"/>
        <v>92504.89</v>
      </c>
      <c r="CY36" s="274"/>
      <c r="CZ36" s="277">
        <f t="shared" si="17"/>
        <v>5272</v>
      </c>
      <c r="DB36" s="618">
        <f t="shared" si="18"/>
        <v>-11729</v>
      </c>
    </row>
    <row r="37" spans="1:106" s="279" customFormat="1" ht="15.75" thickBot="1" x14ac:dyDescent="0.3">
      <c r="A37" s="369" t="s">
        <v>160</v>
      </c>
      <c r="B37" s="369"/>
      <c r="C37" s="369"/>
      <c r="D37" s="369"/>
      <c r="E37" s="369"/>
      <c r="F37" s="278">
        <f>F36</f>
        <v>-2797.38</v>
      </c>
      <c r="G37" s="369"/>
      <c r="H37" s="638">
        <f>H36</f>
        <v>-22673</v>
      </c>
      <c r="I37" s="369"/>
      <c r="J37" s="278">
        <f>J36</f>
        <v>98802.14</v>
      </c>
      <c r="K37" s="369"/>
      <c r="L37" s="638">
        <f>L36</f>
        <v>142795</v>
      </c>
      <c r="M37" s="369"/>
      <c r="N37" s="278">
        <f t="shared" si="9"/>
        <v>96004.76</v>
      </c>
      <c r="O37" s="369"/>
      <c r="P37" s="278">
        <f>ROUND(H37+L37,5)</f>
        <v>120122</v>
      </c>
      <c r="Q37" s="369"/>
      <c r="R37" s="278">
        <f>R36</f>
        <v>25546.75</v>
      </c>
      <c r="S37" s="369"/>
      <c r="T37" s="638">
        <f>T36</f>
        <v>21980</v>
      </c>
      <c r="U37" s="369"/>
      <c r="V37" s="278">
        <f>V36</f>
        <v>-1323.31</v>
      </c>
      <c r="W37" s="369"/>
      <c r="X37" s="278">
        <f>X36</f>
        <v>-7148</v>
      </c>
      <c r="Y37" s="369"/>
      <c r="Z37" s="278">
        <f>Z36</f>
        <v>0</v>
      </c>
      <c r="AA37" s="369"/>
      <c r="AB37" s="278">
        <f>AB36</f>
        <v>0</v>
      </c>
      <c r="AC37" s="369"/>
      <c r="AD37" s="278">
        <f>AD36</f>
        <v>0</v>
      </c>
      <c r="AE37" s="369"/>
      <c r="AF37" s="278">
        <f>AF36</f>
        <v>0</v>
      </c>
      <c r="AG37" s="369"/>
      <c r="AH37" s="278">
        <f t="shared" si="11"/>
        <v>-1323.31</v>
      </c>
      <c r="AI37" s="369"/>
      <c r="AJ37" s="639">
        <f>ROUND(X37+AB37+AF37,5)</f>
        <v>-7148</v>
      </c>
      <c r="AK37" s="369"/>
      <c r="AL37" s="278">
        <f>AL36</f>
        <v>-6624.6</v>
      </c>
      <c r="AM37" s="369"/>
      <c r="AN37" s="638">
        <f>AN36</f>
        <v>-2577</v>
      </c>
      <c r="AO37" s="369"/>
      <c r="AP37" s="278">
        <f>AP36</f>
        <v>-558.04999999999995</v>
      </c>
      <c r="AQ37" s="369"/>
      <c r="AR37" s="639">
        <f>AR36</f>
        <v>-4581</v>
      </c>
      <c r="AS37" s="369"/>
      <c r="AT37" s="278">
        <f>AT36</f>
        <v>2704.76</v>
      </c>
      <c r="AU37" s="369"/>
      <c r="AV37" s="278">
        <f>AV36</f>
        <v>0</v>
      </c>
      <c r="AW37" s="369"/>
      <c r="AX37" s="278">
        <f>AX36</f>
        <v>22321.64</v>
      </c>
      <c r="AY37" s="369"/>
      <c r="AZ37" s="278">
        <f>AZ36</f>
        <v>21059</v>
      </c>
      <c r="BA37" s="369"/>
      <c r="BB37" s="278">
        <f>BB36</f>
        <v>0</v>
      </c>
      <c r="BC37" s="369"/>
      <c r="BD37" s="278">
        <f>BD36</f>
        <v>0</v>
      </c>
      <c r="BE37" s="369"/>
      <c r="BF37" s="278">
        <f t="shared" si="12"/>
        <v>25026.400000000001</v>
      </c>
      <c r="BG37" s="369"/>
      <c r="BH37" s="638">
        <f>ROUND(AV37+AZ37+BD37,5)</f>
        <v>21059</v>
      </c>
      <c r="BI37" s="369"/>
      <c r="BJ37" s="278">
        <f>BJ36</f>
        <v>-3804.1</v>
      </c>
      <c r="BK37" s="369"/>
      <c r="BL37" s="278">
        <f>BL36</f>
        <v>-2700</v>
      </c>
      <c r="BM37" s="369"/>
      <c r="BN37" s="278">
        <f>BN36</f>
        <v>-8712.36</v>
      </c>
      <c r="BO37" s="369"/>
      <c r="BP37" s="278">
        <f>BP36</f>
        <v>-27531</v>
      </c>
      <c r="BQ37" s="369"/>
      <c r="BR37" s="278">
        <f>BR36</f>
        <v>-33050.6</v>
      </c>
      <c r="BS37" s="369"/>
      <c r="BT37" s="278">
        <f>BT36</f>
        <v>-113352</v>
      </c>
      <c r="BU37" s="369"/>
      <c r="BV37" s="278">
        <f t="shared" si="13"/>
        <v>-45567.06</v>
      </c>
      <c r="BW37" s="369"/>
      <c r="BX37" s="638">
        <f>ROUND(BL37+BP37+BT37,5)</f>
        <v>-143583</v>
      </c>
      <c r="BY37" s="369"/>
      <c r="BZ37" s="278">
        <f t="shared" si="14"/>
        <v>-29046.62</v>
      </c>
      <c r="CA37" s="369"/>
      <c r="CB37" s="278">
        <f>ROUND(AJ37+AN37+AR37+BH37+BX37,5)</f>
        <v>-136830</v>
      </c>
      <c r="CC37" s="369"/>
      <c r="CD37" s="278">
        <f>CD36</f>
        <v>0</v>
      </c>
      <c r="CE37" s="369"/>
      <c r="CF37" s="278">
        <f>CF36</f>
        <v>0</v>
      </c>
      <c r="CG37" s="369"/>
      <c r="CH37" s="278">
        <f>CH36</f>
        <v>0</v>
      </c>
      <c r="CI37" s="369"/>
      <c r="CJ37" s="278">
        <f>CJ36</f>
        <v>0</v>
      </c>
      <c r="CK37" s="369"/>
      <c r="CL37" s="278">
        <f>CL36</f>
        <v>0</v>
      </c>
      <c r="CM37" s="369"/>
      <c r="CN37" s="278">
        <f>CN36</f>
        <v>0</v>
      </c>
      <c r="CO37" s="369"/>
      <c r="CP37" s="278">
        <f t="shared" si="15"/>
        <v>0</v>
      </c>
      <c r="CQ37" s="369"/>
      <c r="CR37" s="278">
        <f>ROUND(CF37+CJ37+CN37,5)</f>
        <v>0</v>
      </c>
      <c r="CS37" s="369"/>
      <c r="CT37" s="278">
        <f>CT36</f>
        <v>0</v>
      </c>
      <c r="CU37" s="369"/>
      <c r="CV37" s="278">
        <f>CV36</f>
        <v>0</v>
      </c>
      <c r="CW37" s="369"/>
      <c r="CX37" s="278">
        <f t="shared" si="16"/>
        <v>92504.89</v>
      </c>
      <c r="CY37" s="369"/>
      <c r="CZ37" s="278">
        <f t="shared" si="17"/>
        <v>5272</v>
      </c>
      <c r="DB37" s="618">
        <f t="shared" si="18"/>
        <v>-11729</v>
      </c>
    </row>
    <row r="38" spans="1:106" ht="15.75" thickTop="1" x14ac:dyDescent="0.25"/>
    <row r="40" spans="1:106" x14ac:dyDescent="0.25">
      <c r="H40" s="618"/>
    </row>
    <row r="41" spans="1:106" x14ac:dyDescent="0.25">
      <c r="E41" s="429" t="s">
        <v>85</v>
      </c>
      <c r="H41" s="620">
        <f>+H17</f>
        <v>9483</v>
      </c>
      <c r="L41" s="620">
        <f>+L17</f>
        <v>24342</v>
      </c>
      <c r="T41" s="620">
        <f>+T17</f>
        <v>27763</v>
      </c>
      <c r="AN41" s="618">
        <f>+AN17</f>
        <v>22801</v>
      </c>
      <c r="BH41" s="618">
        <f>+BH17</f>
        <v>49385</v>
      </c>
      <c r="BX41" s="618">
        <f>+BX17</f>
        <v>145607</v>
      </c>
      <c r="CZ41" s="300"/>
      <c r="DB41" s="618">
        <f>+DB17</f>
        <v>8238</v>
      </c>
    </row>
    <row r="42" spans="1:106" x14ac:dyDescent="0.25">
      <c r="E42" s="429" t="s">
        <v>86</v>
      </c>
      <c r="H42" s="620">
        <f>+H27</f>
        <v>10008</v>
      </c>
      <c r="L42" s="620">
        <f>+L27</f>
        <v>2023</v>
      </c>
      <c r="T42" s="620">
        <f>+T27</f>
        <v>525</v>
      </c>
      <c r="AN42" s="618">
        <f>+AN27</f>
        <v>106023</v>
      </c>
      <c r="BH42" s="618">
        <f>+BH27</f>
        <v>566</v>
      </c>
      <c r="BX42" s="618">
        <f>+BX27</f>
        <v>3134</v>
      </c>
      <c r="DB42" s="618">
        <f>+DB27</f>
        <v>1510</v>
      </c>
    </row>
    <row r="43" spans="1:106" x14ac:dyDescent="0.25">
      <c r="E43" s="429" t="s">
        <v>87</v>
      </c>
      <c r="H43" s="620">
        <f>+H18+H19+H29+H30+H31+H32+H28+H33</f>
        <v>2351</v>
      </c>
      <c r="L43" s="620">
        <f>+L18+L19+L29+L30+L31+L32+L28+L33</f>
        <v>20909</v>
      </c>
      <c r="T43" s="620">
        <f>+T18+T19+T29+T30+T31+T32+T28+T33</f>
        <v>4680</v>
      </c>
      <c r="AN43" s="619">
        <f>+AN18+AN19+AN29+AN30+AN31+AN32+AN28+AN33</f>
        <v>5614</v>
      </c>
      <c r="BH43" s="619">
        <f>+BH18+BH19+BH29+BH30+BH31+BH32+BH28+BH33</f>
        <v>33980</v>
      </c>
      <c r="BX43" s="619">
        <f>+BX18+BX19+BX29+BX30+BX31+BX32+BX28+BX33</f>
        <v>19828</v>
      </c>
      <c r="DB43" s="619">
        <f>+DB18+DB19+DB29+DB30+DB31+DB32+DB28+DB33</f>
        <v>1098</v>
      </c>
    </row>
    <row r="44" spans="1:106" x14ac:dyDescent="0.25">
      <c r="E44" s="429" t="s">
        <v>88</v>
      </c>
      <c r="H44" s="620">
        <f>+H21+H23+H22+H24+H25+H26</f>
        <v>831</v>
      </c>
      <c r="L44" s="620">
        <f>+L21+L23+L22+L24+L25+L26</f>
        <v>3941</v>
      </c>
      <c r="T44" s="620">
        <f>+T21+T23+T22+T24+T25+T26</f>
        <v>18052</v>
      </c>
      <c r="AN44" s="619">
        <f>+AN21+AN23+AN22+AN24+AN25+AN26</f>
        <v>3139</v>
      </c>
      <c r="BH44" s="619">
        <f>+BH21+BH23+BH22+BH24+BH25+BH26</f>
        <v>8510</v>
      </c>
      <c r="BX44" s="619">
        <f>+BX21+BX23+BX22+BX24+BX25+BX26</f>
        <v>12014</v>
      </c>
      <c r="DB44" s="619">
        <f>+DB21+DB23+DB22+DB24+DB25+DB26</f>
        <v>883</v>
      </c>
    </row>
    <row r="45" spans="1:106" x14ac:dyDescent="0.25">
      <c r="H45" s="620">
        <f>SUM(H41:H44)</f>
        <v>22673</v>
      </c>
      <c r="L45" s="620">
        <f>SUM(L41:L44)</f>
        <v>51215</v>
      </c>
      <c r="T45" s="620">
        <f>SUM(T41:T44)</f>
        <v>51020</v>
      </c>
      <c r="AN45" s="618">
        <f>SUM(AN41:AN44)</f>
        <v>137577</v>
      </c>
      <c r="BH45" s="618">
        <f>SUM(BH41:BH44)</f>
        <v>92441</v>
      </c>
      <c r="BX45" s="618">
        <f>SUM(BX41:BX44)</f>
        <v>180583</v>
      </c>
      <c r="DB45" s="618">
        <f>SUM(DB41:DB44)</f>
        <v>11729</v>
      </c>
    </row>
    <row r="46" spans="1:106" x14ac:dyDescent="0.25">
      <c r="T46" s="619"/>
      <c r="BH46" s="6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59"/>
  <sheetViews>
    <sheetView workbookViewId="0">
      <pane xSplit="7" ySplit="1" topLeftCell="H34" activePane="bottomRight" state="frozenSplit"/>
      <selection pane="topRight" activeCell="H1" sqref="H1"/>
      <selection pane="bottomLeft" activeCell="A2" sqref="A2"/>
      <selection pane="bottomRight" activeCell="AI42" sqref="AI42"/>
    </sheetView>
  </sheetViews>
  <sheetFormatPr defaultRowHeight="15" x14ac:dyDescent="0.25"/>
  <cols>
    <col min="1" max="6" width="3" style="361" customWidth="1"/>
    <col min="7" max="7" width="28.5703125" style="361" customWidth="1"/>
    <col min="8" max="8" width="7.85546875" style="362" bestFit="1" customWidth="1"/>
    <col min="9" max="9" width="2.28515625" style="362" customWidth="1"/>
    <col min="10" max="10" width="7.85546875" style="362" bestFit="1" customWidth="1"/>
    <col min="11" max="11" width="2.28515625" style="362" customWidth="1"/>
    <col min="12" max="12" width="8.42578125" style="362" bestFit="1" customWidth="1"/>
    <col min="13" max="13" width="2.28515625" style="362" customWidth="1"/>
    <col min="14" max="14" width="7.85546875" style="362" bestFit="1" customWidth="1"/>
    <col min="15" max="15" width="2.28515625" style="362" customWidth="1"/>
    <col min="16" max="16" width="7.85546875" style="362" bestFit="1" customWidth="1"/>
    <col min="17" max="17" width="2.28515625" style="362" customWidth="1"/>
    <col min="18" max="18" width="8.42578125" style="362" bestFit="1" customWidth="1"/>
    <col min="19" max="19" width="2.28515625" style="362" customWidth="1"/>
    <col min="20" max="20" width="8.42578125" style="362" bestFit="1" customWidth="1"/>
    <col min="21" max="21" width="2.28515625" style="362" customWidth="1"/>
    <col min="22" max="22" width="7.85546875" style="362" bestFit="1" customWidth="1"/>
    <col min="23" max="23" width="2.28515625" style="362" customWidth="1"/>
    <col min="24" max="24" width="7.85546875" style="362" bestFit="1" customWidth="1"/>
    <col min="25" max="25" width="2.28515625" style="362" customWidth="1"/>
    <col min="26" max="26" width="7.85546875" style="362" bestFit="1" customWidth="1"/>
    <col min="27" max="27" width="2.28515625" style="362" customWidth="1"/>
    <col min="28" max="28" width="7.85546875" style="362" bestFit="1" customWidth="1"/>
    <col min="29" max="29" width="2.28515625" style="362" customWidth="1"/>
    <col min="30" max="30" width="7.85546875" style="362" bestFit="1" customWidth="1"/>
    <col min="31" max="31" width="2.28515625" style="362" customWidth="1"/>
    <col min="32" max="32" width="8.7109375" style="362" bestFit="1" customWidth="1"/>
    <col min="33" max="16384" width="9.140625" style="360"/>
  </cols>
  <sheetData>
    <row r="1" spans="1:32" s="364" customFormat="1" ht="15.75" thickBot="1" x14ac:dyDescent="0.3">
      <c r="A1" s="363"/>
      <c r="B1" s="363"/>
      <c r="C1" s="363"/>
      <c r="D1" s="363"/>
      <c r="E1" s="363"/>
      <c r="F1" s="363"/>
      <c r="G1" s="363"/>
      <c r="H1" s="301" t="s">
        <v>161</v>
      </c>
      <c r="I1" s="272"/>
      <c r="J1" s="301" t="s">
        <v>162</v>
      </c>
      <c r="K1" s="272"/>
      <c r="L1" s="301" t="s">
        <v>163</v>
      </c>
      <c r="M1" s="272"/>
      <c r="N1" s="301" t="s">
        <v>164</v>
      </c>
      <c r="O1" s="272"/>
      <c r="P1" s="301" t="s">
        <v>165</v>
      </c>
      <c r="Q1" s="272"/>
      <c r="R1" s="301" t="s">
        <v>166</v>
      </c>
      <c r="S1" s="272"/>
      <c r="T1" s="301" t="s">
        <v>431</v>
      </c>
      <c r="U1" s="272"/>
      <c r="V1" s="301" t="s">
        <v>436</v>
      </c>
      <c r="W1" s="272"/>
      <c r="X1" s="301" t="s">
        <v>440</v>
      </c>
      <c r="Y1" s="272"/>
      <c r="Z1" s="301" t="s">
        <v>445</v>
      </c>
      <c r="AA1" s="272"/>
      <c r="AB1" s="301" t="s">
        <v>459</v>
      </c>
      <c r="AC1" s="272"/>
      <c r="AD1" s="301" t="s">
        <v>472</v>
      </c>
      <c r="AE1" s="272"/>
      <c r="AF1" s="301" t="s">
        <v>129</v>
      </c>
    </row>
    <row r="2" spans="1:32" ht="15.75" thickTop="1" x14ac:dyDescent="0.25">
      <c r="A2" s="369"/>
      <c r="B2" s="369" t="s">
        <v>130</v>
      </c>
      <c r="C2" s="369"/>
      <c r="D2" s="369"/>
      <c r="E2" s="369"/>
      <c r="F2" s="369"/>
      <c r="G2" s="369"/>
      <c r="H2" s="366"/>
      <c r="I2" s="274"/>
      <c r="J2" s="366"/>
      <c r="K2" s="274"/>
      <c r="L2" s="366"/>
      <c r="M2" s="274"/>
      <c r="N2" s="366"/>
      <c r="O2" s="274"/>
      <c r="P2" s="366"/>
      <c r="Q2" s="274"/>
      <c r="R2" s="366"/>
      <c r="S2" s="274"/>
      <c r="T2" s="366"/>
      <c r="U2" s="274"/>
      <c r="V2" s="366"/>
      <c r="W2" s="274"/>
      <c r="X2" s="366"/>
      <c r="Y2" s="274"/>
      <c r="Z2" s="366"/>
      <c r="AA2" s="274"/>
      <c r="AB2" s="366"/>
      <c r="AC2" s="274"/>
      <c r="AD2" s="366"/>
      <c r="AE2" s="274"/>
      <c r="AF2" s="366"/>
    </row>
    <row r="3" spans="1:32" x14ac:dyDescent="0.25">
      <c r="A3" s="369"/>
      <c r="B3" s="369"/>
      <c r="C3" s="369"/>
      <c r="D3" s="369" t="s">
        <v>131</v>
      </c>
      <c r="E3" s="369"/>
      <c r="F3" s="369"/>
      <c r="G3" s="369"/>
      <c r="H3" s="366"/>
      <c r="I3" s="274"/>
      <c r="J3" s="366"/>
      <c r="K3" s="274"/>
      <c r="L3" s="366"/>
      <c r="M3" s="274"/>
      <c r="N3" s="366"/>
      <c r="O3" s="274"/>
      <c r="P3" s="366"/>
      <c r="Q3" s="274"/>
      <c r="R3" s="366"/>
      <c r="S3" s="274"/>
      <c r="T3" s="366"/>
      <c r="U3" s="274"/>
      <c r="V3" s="366"/>
      <c r="W3" s="274"/>
      <c r="X3" s="366"/>
      <c r="Y3" s="274"/>
      <c r="Z3" s="366"/>
      <c r="AA3" s="274"/>
      <c r="AB3" s="366"/>
      <c r="AC3" s="274"/>
      <c r="AD3" s="366"/>
      <c r="AE3" s="274"/>
      <c r="AF3" s="366"/>
    </row>
    <row r="4" spans="1:32" x14ac:dyDescent="0.25">
      <c r="A4" s="369"/>
      <c r="B4" s="369"/>
      <c r="C4" s="369"/>
      <c r="D4" s="369"/>
      <c r="E4" s="369" t="s">
        <v>132</v>
      </c>
      <c r="F4" s="369"/>
      <c r="G4" s="369"/>
      <c r="H4" s="366"/>
      <c r="I4" s="274"/>
      <c r="J4" s="366"/>
      <c r="K4" s="274"/>
      <c r="L4" s="366"/>
      <c r="M4" s="274"/>
      <c r="N4" s="366"/>
      <c r="O4" s="274"/>
      <c r="P4" s="366"/>
      <c r="Q4" s="274"/>
      <c r="R4" s="366"/>
      <c r="S4" s="274"/>
      <c r="T4" s="366"/>
      <c r="U4" s="274"/>
      <c r="V4" s="366"/>
      <c r="W4" s="274"/>
      <c r="X4" s="366"/>
      <c r="Y4" s="274"/>
      <c r="Z4" s="366"/>
      <c r="AA4" s="274"/>
      <c r="AB4" s="366"/>
      <c r="AC4" s="274"/>
      <c r="AD4" s="366"/>
      <c r="AE4" s="274"/>
      <c r="AF4" s="366"/>
    </row>
    <row r="5" spans="1:32" x14ac:dyDescent="0.25">
      <c r="A5" s="369"/>
      <c r="B5" s="369"/>
      <c r="C5" s="369"/>
      <c r="D5" s="369"/>
      <c r="E5" s="369"/>
      <c r="F5" s="369" t="s">
        <v>167</v>
      </c>
      <c r="G5" s="369"/>
      <c r="H5" s="366">
        <v>38853.5</v>
      </c>
      <c r="I5" s="274"/>
      <c r="J5" s="366">
        <v>0</v>
      </c>
      <c r="K5" s="274"/>
      <c r="L5" s="366">
        <v>847</v>
      </c>
      <c r="M5" s="274"/>
      <c r="N5" s="366">
        <v>40988.5</v>
      </c>
      <c r="O5" s="274"/>
      <c r="P5" s="366">
        <v>32385.5</v>
      </c>
      <c r="Q5" s="274"/>
      <c r="R5" s="366">
        <v>0</v>
      </c>
      <c r="S5" s="274"/>
      <c r="T5" s="366">
        <v>-717.5</v>
      </c>
      <c r="U5" s="274"/>
      <c r="V5" s="366">
        <v>0</v>
      </c>
      <c r="W5" s="274"/>
      <c r="X5" s="366">
        <v>2345.67</v>
      </c>
      <c r="Y5" s="274"/>
      <c r="Z5" s="366">
        <v>55415.5</v>
      </c>
      <c r="AA5" s="274"/>
      <c r="AB5" s="366">
        <v>8956.5</v>
      </c>
      <c r="AC5" s="274"/>
      <c r="AD5" s="366">
        <v>47404</v>
      </c>
      <c r="AE5" s="274"/>
      <c r="AF5" s="366">
        <f>ROUND(SUM(H5:AD5),5)</f>
        <v>226478.67</v>
      </c>
    </row>
    <row r="6" spans="1:32" x14ac:dyDescent="0.25">
      <c r="A6" s="369"/>
      <c r="B6" s="369"/>
      <c r="C6" s="369"/>
      <c r="D6" s="369"/>
      <c r="E6" s="369"/>
      <c r="F6" s="369" t="s">
        <v>168</v>
      </c>
      <c r="G6" s="369"/>
      <c r="H6" s="366">
        <v>-756</v>
      </c>
      <c r="I6" s="274"/>
      <c r="J6" s="366">
        <v>-191.63</v>
      </c>
      <c r="K6" s="274"/>
      <c r="L6" s="366">
        <v>0</v>
      </c>
      <c r="M6" s="274"/>
      <c r="N6" s="366">
        <v>-603.75</v>
      </c>
      <c r="O6" s="274"/>
      <c r="P6" s="366">
        <v>0</v>
      </c>
      <c r="Q6" s="274"/>
      <c r="R6" s="366">
        <v>0</v>
      </c>
      <c r="S6" s="274"/>
      <c r="T6" s="366">
        <v>-1697.5</v>
      </c>
      <c r="U6" s="274"/>
      <c r="V6" s="366">
        <v>-257.75</v>
      </c>
      <c r="W6" s="274"/>
      <c r="X6" s="366">
        <v>-563.5</v>
      </c>
      <c r="Y6" s="274"/>
      <c r="Z6" s="366">
        <v>-2673.13</v>
      </c>
      <c r="AA6" s="274"/>
      <c r="AB6" s="366">
        <v>-1995</v>
      </c>
      <c r="AC6" s="274"/>
      <c r="AD6" s="366">
        <v>-35.29</v>
      </c>
      <c r="AE6" s="274"/>
      <c r="AF6" s="366">
        <f>ROUND(SUM(H6:AD6),5)</f>
        <v>-8773.5499999999993</v>
      </c>
    </row>
    <row r="7" spans="1:32" ht="15.75" thickBot="1" x14ac:dyDescent="0.3">
      <c r="A7" s="369"/>
      <c r="B7" s="369"/>
      <c r="C7" s="369"/>
      <c r="D7" s="369"/>
      <c r="E7" s="369"/>
      <c r="F7" s="369" t="s">
        <v>169</v>
      </c>
      <c r="G7" s="369"/>
      <c r="H7" s="275">
        <v>618.88</v>
      </c>
      <c r="I7" s="274"/>
      <c r="J7" s="275">
        <v>1000</v>
      </c>
      <c r="K7" s="274"/>
      <c r="L7" s="275">
        <v>240</v>
      </c>
      <c r="M7" s="274"/>
      <c r="N7" s="275">
        <v>977.98</v>
      </c>
      <c r="O7" s="274"/>
      <c r="P7" s="275">
        <v>1015.94</v>
      </c>
      <c r="Q7" s="274"/>
      <c r="R7" s="275">
        <v>1850.02</v>
      </c>
      <c r="S7" s="274"/>
      <c r="T7" s="275">
        <v>10</v>
      </c>
      <c r="U7" s="274"/>
      <c r="V7" s="275">
        <v>300</v>
      </c>
      <c r="W7" s="274"/>
      <c r="X7" s="275">
        <v>3010.82</v>
      </c>
      <c r="Y7" s="274"/>
      <c r="Z7" s="275">
        <v>1695</v>
      </c>
      <c r="AA7" s="274"/>
      <c r="AB7" s="275">
        <v>1055</v>
      </c>
      <c r="AC7" s="274"/>
      <c r="AD7" s="275">
        <v>1005</v>
      </c>
      <c r="AE7" s="274"/>
      <c r="AF7" s="275">
        <f>ROUND(SUM(H7:AD7),5)</f>
        <v>12778.64</v>
      </c>
    </row>
    <row r="8" spans="1:32" x14ac:dyDescent="0.25">
      <c r="A8" s="369"/>
      <c r="B8" s="369"/>
      <c r="C8" s="369"/>
      <c r="D8" s="369"/>
      <c r="E8" s="369" t="s">
        <v>170</v>
      </c>
      <c r="F8" s="369"/>
      <c r="G8" s="369"/>
      <c r="H8" s="366">
        <f>ROUND(SUM(H4:H7),5)</f>
        <v>38716.379999999997</v>
      </c>
      <c r="I8" s="274"/>
      <c r="J8" s="366">
        <f>ROUND(SUM(J4:J7),5)</f>
        <v>808.37</v>
      </c>
      <c r="K8" s="274"/>
      <c r="L8" s="366">
        <f>ROUND(SUM(L4:L7),5)</f>
        <v>1087</v>
      </c>
      <c r="M8" s="274"/>
      <c r="N8" s="366">
        <f>ROUND(SUM(N4:N7),5)</f>
        <v>41362.730000000003</v>
      </c>
      <c r="O8" s="274"/>
      <c r="P8" s="366">
        <f>ROUND(SUM(P4:P7),5)</f>
        <v>33401.440000000002</v>
      </c>
      <c r="Q8" s="274"/>
      <c r="R8" s="366">
        <f>ROUND(SUM(R4:R7),5)</f>
        <v>1850.02</v>
      </c>
      <c r="S8" s="274"/>
      <c r="T8" s="366">
        <f>ROUND(SUM(T4:T7),5)</f>
        <v>-2405</v>
      </c>
      <c r="U8" s="274"/>
      <c r="V8" s="366">
        <f>ROUND(SUM(V4:V7),5)</f>
        <v>42.25</v>
      </c>
      <c r="W8" s="274"/>
      <c r="X8" s="366">
        <f>ROUND(SUM(X4:X7),5)</f>
        <v>4792.99</v>
      </c>
      <c r="Y8" s="274"/>
      <c r="Z8" s="366">
        <f>ROUND(SUM(Z4:Z7),5)</f>
        <v>54437.37</v>
      </c>
      <c r="AA8" s="274"/>
      <c r="AB8" s="366">
        <f>ROUND(SUM(AB4:AB7),5)</f>
        <v>8016.5</v>
      </c>
      <c r="AC8" s="274"/>
      <c r="AD8" s="366">
        <f>ROUND(SUM(AD4:AD7),5)</f>
        <v>48373.71</v>
      </c>
      <c r="AE8" s="274"/>
      <c r="AF8" s="366">
        <f>ROUND(SUM(H8:AD8),5)</f>
        <v>230483.76</v>
      </c>
    </row>
    <row r="9" spans="1:32" x14ac:dyDescent="0.25">
      <c r="A9" s="369"/>
      <c r="B9" s="369"/>
      <c r="C9" s="369"/>
      <c r="D9" s="369"/>
      <c r="E9" s="369" t="s">
        <v>133</v>
      </c>
      <c r="F9" s="369"/>
      <c r="G9" s="369"/>
      <c r="H9" s="366"/>
      <c r="I9" s="274"/>
      <c r="J9" s="366"/>
      <c r="K9" s="274"/>
      <c r="L9" s="366"/>
      <c r="M9" s="274"/>
      <c r="N9" s="366"/>
      <c r="O9" s="274"/>
      <c r="P9" s="366"/>
      <c r="Q9" s="274"/>
      <c r="R9" s="366"/>
      <c r="S9" s="274"/>
      <c r="T9" s="366"/>
      <c r="U9" s="274"/>
      <c r="V9" s="366"/>
      <c r="W9" s="274"/>
      <c r="X9" s="366"/>
      <c r="Y9" s="274"/>
      <c r="Z9" s="366"/>
      <c r="AA9" s="274"/>
      <c r="AB9" s="366"/>
      <c r="AC9" s="274"/>
      <c r="AD9" s="366"/>
      <c r="AE9" s="274"/>
      <c r="AF9" s="366"/>
    </row>
    <row r="10" spans="1:32" x14ac:dyDescent="0.25">
      <c r="A10" s="369"/>
      <c r="B10" s="369"/>
      <c r="C10" s="369"/>
      <c r="D10" s="369"/>
      <c r="E10" s="369"/>
      <c r="F10" s="369" t="s">
        <v>171</v>
      </c>
      <c r="G10" s="369"/>
      <c r="H10" s="366">
        <v>12621.18</v>
      </c>
      <c r="I10" s="274"/>
      <c r="J10" s="366">
        <v>5920.64</v>
      </c>
      <c r="K10" s="274"/>
      <c r="L10" s="366">
        <v>8715.98</v>
      </c>
      <c r="M10" s="274"/>
      <c r="N10" s="366">
        <v>7084.64</v>
      </c>
      <c r="O10" s="274"/>
      <c r="P10" s="366">
        <v>9960.77</v>
      </c>
      <c r="Q10" s="274"/>
      <c r="R10" s="366">
        <v>5568.92</v>
      </c>
      <c r="S10" s="274"/>
      <c r="T10" s="366">
        <v>8201.6299999999992</v>
      </c>
      <c r="U10" s="274"/>
      <c r="V10" s="366">
        <v>5212.2299999999996</v>
      </c>
      <c r="W10" s="274"/>
      <c r="X10" s="366">
        <v>9012.85</v>
      </c>
      <c r="Y10" s="274"/>
      <c r="Z10" s="366">
        <v>8459.11</v>
      </c>
      <c r="AA10" s="274"/>
      <c r="AB10" s="366">
        <v>19709.599999999999</v>
      </c>
      <c r="AC10" s="274"/>
      <c r="AD10" s="366">
        <v>10774.07</v>
      </c>
      <c r="AE10" s="274"/>
      <c r="AF10" s="366">
        <f t="shared" ref="AF10:AF15" si="0">ROUND(SUM(H10:AD10),5)</f>
        <v>111241.62</v>
      </c>
    </row>
    <row r="11" spans="1:32" x14ac:dyDescent="0.25">
      <c r="A11" s="369"/>
      <c r="B11" s="369"/>
      <c r="C11" s="369"/>
      <c r="D11" s="369"/>
      <c r="E11" s="369"/>
      <c r="F11" s="369" t="s">
        <v>172</v>
      </c>
      <c r="G11" s="369"/>
      <c r="H11" s="366">
        <v>2780</v>
      </c>
      <c r="I11" s="274"/>
      <c r="J11" s="366">
        <v>925</v>
      </c>
      <c r="K11" s="274"/>
      <c r="L11" s="366">
        <v>625</v>
      </c>
      <c r="M11" s="274"/>
      <c r="N11" s="366">
        <v>1550</v>
      </c>
      <c r="O11" s="274"/>
      <c r="P11" s="366">
        <v>0</v>
      </c>
      <c r="Q11" s="274"/>
      <c r="R11" s="366">
        <v>0</v>
      </c>
      <c r="S11" s="274"/>
      <c r="T11" s="366">
        <v>0</v>
      </c>
      <c r="U11" s="274"/>
      <c r="V11" s="366">
        <v>350</v>
      </c>
      <c r="W11" s="274"/>
      <c r="X11" s="366">
        <v>2000</v>
      </c>
      <c r="Y11" s="274"/>
      <c r="Z11" s="366">
        <v>850</v>
      </c>
      <c r="AA11" s="274"/>
      <c r="AB11" s="366">
        <v>2995</v>
      </c>
      <c r="AC11" s="274"/>
      <c r="AD11" s="366">
        <v>350</v>
      </c>
      <c r="AE11" s="274"/>
      <c r="AF11" s="366">
        <f t="shared" si="0"/>
        <v>12425</v>
      </c>
    </row>
    <row r="12" spans="1:32" x14ac:dyDescent="0.25">
      <c r="A12" s="369"/>
      <c r="B12" s="369"/>
      <c r="C12" s="369"/>
      <c r="D12" s="369"/>
      <c r="E12" s="369"/>
      <c r="F12" s="369" t="s">
        <v>173</v>
      </c>
      <c r="G12" s="369"/>
      <c r="H12" s="366">
        <v>327.04000000000002</v>
      </c>
      <c r="I12" s="274"/>
      <c r="J12" s="366">
        <v>0</v>
      </c>
      <c r="K12" s="274"/>
      <c r="L12" s="366">
        <v>0</v>
      </c>
      <c r="M12" s="274"/>
      <c r="N12" s="366">
        <v>210.12</v>
      </c>
      <c r="O12" s="274"/>
      <c r="P12" s="366">
        <v>0</v>
      </c>
      <c r="Q12" s="274"/>
      <c r="R12" s="366">
        <v>5316.63</v>
      </c>
      <c r="S12" s="274"/>
      <c r="T12" s="366">
        <v>4762.3999999999996</v>
      </c>
      <c r="U12" s="274"/>
      <c r="V12" s="366">
        <v>1292.3900000000001</v>
      </c>
      <c r="W12" s="274"/>
      <c r="X12" s="366">
        <v>2631.96</v>
      </c>
      <c r="Y12" s="274"/>
      <c r="Z12" s="366">
        <v>1332.1</v>
      </c>
      <c r="AA12" s="274"/>
      <c r="AB12" s="366">
        <v>0</v>
      </c>
      <c r="AC12" s="274"/>
      <c r="AD12" s="366">
        <v>1340.13</v>
      </c>
      <c r="AE12" s="274"/>
      <c r="AF12" s="366">
        <f t="shared" si="0"/>
        <v>17212.77</v>
      </c>
    </row>
    <row r="13" spans="1:32" x14ac:dyDescent="0.25">
      <c r="A13" s="369"/>
      <c r="B13" s="369"/>
      <c r="C13" s="369"/>
      <c r="D13" s="369"/>
      <c r="E13" s="369"/>
      <c r="F13" s="369" t="s">
        <v>174</v>
      </c>
      <c r="G13" s="369"/>
      <c r="H13" s="366">
        <v>0</v>
      </c>
      <c r="I13" s="274"/>
      <c r="J13" s="366">
        <v>17500</v>
      </c>
      <c r="K13" s="274"/>
      <c r="L13" s="366">
        <v>0</v>
      </c>
      <c r="M13" s="274"/>
      <c r="N13" s="366">
        <v>0</v>
      </c>
      <c r="O13" s="274"/>
      <c r="P13" s="366">
        <v>0</v>
      </c>
      <c r="Q13" s="274"/>
      <c r="R13" s="366">
        <v>-17500</v>
      </c>
      <c r="S13" s="274"/>
      <c r="T13" s="366">
        <v>0</v>
      </c>
      <c r="U13" s="274"/>
      <c r="V13" s="366">
        <v>0</v>
      </c>
      <c r="W13" s="274"/>
      <c r="X13" s="366">
        <v>0</v>
      </c>
      <c r="Y13" s="274"/>
      <c r="Z13" s="366">
        <v>0</v>
      </c>
      <c r="AA13" s="274"/>
      <c r="AB13" s="366">
        <v>0</v>
      </c>
      <c r="AC13" s="274"/>
      <c r="AD13" s="366">
        <v>0</v>
      </c>
      <c r="AE13" s="274"/>
      <c r="AF13" s="366">
        <f t="shared" si="0"/>
        <v>0</v>
      </c>
    </row>
    <row r="14" spans="1:32" ht="15.75" thickBot="1" x14ac:dyDescent="0.3">
      <c r="A14" s="369"/>
      <c r="B14" s="369"/>
      <c r="C14" s="369"/>
      <c r="D14" s="369"/>
      <c r="E14" s="369"/>
      <c r="F14" s="369" t="s">
        <v>175</v>
      </c>
      <c r="G14" s="369"/>
      <c r="H14" s="275">
        <v>750</v>
      </c>
      <c r="I14" s="274"/>
      <c r="J14" s="275">
        <v>0</v>
      </c>
      <c r="K14" s="274"/>
      <c r="L14" s="275">
        <v>0</v>
      </c>
      <c r="M14" s="274"/>
      <c r="N14" s="275">
        <v>0</v>
      </c>
      <c r="O14" s="274"/>
      <c r="P14" s="275">
        <v>0</v>
      </c>
      <c r="Q14" s="274"/>
      <c r="R14" s="275">
        <v>0</v>
      </c>
      <c r="S14" s="274"/>
      <c r="T14" s="275">
        <v>0</v>
      </c>
      <c r="U14" s="274"/>
      <c r="V14" s="275">
        <v>0</v>
      </c>
      <c r="W14" s="274"/>
      <c r="X14" s="275">
        <v>0</v>
      </c>
      <c r="Y14" s="274"/>
      <c r="Z14" s="275">
        <v>0</v>
      </c>
      <c r="AA14" s="274"/>
      <c r="AB14" s="275">
        <v>0</v>
      </c>
      <c r="AC14" s="274"/>
      <c r="AD14" s="275">
        <v>0</v>
      </c>
      <c r="AE14" s="274"/>
      <c r="AF14" s="275">
        <f t="shared" si="0"/>
        <v>750</v>
      </c>
    </row>
    <row r="15" spans="1:32" x14ac:dyDescent="0.25">
      <c r="A15" s="369"/>
      <c r="B15" s="369"/>
      <c r="C15" s="369"/>
      <c r="D15" s="369"/>
      <c r="E15" s="369" t="s">
        <v>176</v>
      </c>
      <c r="F15" s="369"/>
      <c r="G15" s="369"/>
      <c r="H15" s="366">
        <f>ROUND(SUM(H9:H14),5)</f>
        <v>16478.22</v>
      </c>
      <c r="I15" s="274"/>
      <c r="J15" s="366">
        <f>ROUND(SUM(J9:J14),5)</f>
        <v>24345.64</v>
      </c>
      <c r="K15" s="274"/>
      <c r="L15" s="366">
        <f>ROUND(SUM(L9:L14),5)</f>
        <v>9340.98</v>
      </c>
      <c r="M15" s="274"/>
      <c r="N15" s="366">
        <f>ROUND(SUM(N9:N14),5)</f>
        <v>8844.76</v>
      </c>
      <c r="O15" s="274"/>
      <c r="P15" s="366">
        <f>ROUND(SUM(P9:P14),5)</f>
        <v>9960.77</v>
      </c>
      <c r="Q15" s="274"/>
      <c r="R15" s="366">
        <f>ROUND(SUM(R9:R14),5)</f>
        <v>-6614.45</v>
      </c>
      <c r="S15" s="274"/>
      <c r="T15" s="366">
        <f>ROUND(SUM(T9:T14),5)</f>
        <v>12964.03</v>
      </c>
      <c r="U15" s="274"/>
      <c r="V15" s="366">
        <f>ROUND(SUM(V9:V14),5)</f>
        <v>6854.62</v>
      </c>
      <c r="W15" s="274"/>
      <c r="X15" s="366">
        <f>ROUND(SUM(X9:X14),5)</f>
        <v>13644.81</v>
      </c>
      <c r="Y15" s="274"/>
      <c r="Z15" s="366">
        <f>ROUND(SUM(Z9:Z14),5)</f>
        <v>10641.21</v>
      </c>
      <c r="AA15" s="274"/>
      <c r="AB15" s="366">
        <f>ROUND(SUM(AB9:AB14),5)</f>
        <v>22704.6</v>
      </c>
      <c r="AC15" s="274"/>
      <c r="AD15" s="366">
        <f>ROUND(SUM(AD9:AD14),5)</f>
        <v>12464.2</v>
      </c>
      <c r="AE15" s="274"/>
      <c r="AF15" s="366">
        <f t="shared" si="0"/>
        <v>141629.39000000001</v>
      </c>
    </row>
    <row r="16" spans="1:32" x14ac:dyDescent="0.25">
      <c r="A16" s="369"/>
      <c r="B16" s="369"/>
      <c r="C16" s="369"/>
      <c r="D16" s="369"/>
      <c r="E16" s="369" t="s">
        <v>134</v>
      </c>
      <c r="F16" s="369"/>
      <c r="G16" s="369"/>
      <c r="H16" s="366"/>
      <c r="I16" s="274"/>
      <c r="J16" s="366"/>
      <c r="K16" s="274"/>
      <c r="L16" s="366"/>
      <c r="M16" s="274"/>
      <c r="N16" s="366"/>
      <c r="O16" s="274"/>
      <c r="P16" s="366"/>
      <c r="Q16" s="274"/>
      <c r="R16" s="366"/>
      <c r="S16" s="274"/>
      <c r="T16" s="366"/>
      <c r="U16" s="274"/>
      <c r="V16" s="366"/>
      <c r="W16" s="274"/>
      <c r="X16" s="366"/>
      <c r="Y16" s="274"/>
      <c r="Z16" s="366"/>
      <c r="AA16" s="274"/>
      <c r="AB16" s="366"/>
      <c r="AC16" s="274"/>
      <c r="AD16" s="366"/>
      <c r="AE16" s="274"/>
      <c r="AF16" s="366"/>
    </row>
    <row r="17" spans="1:32" x14ac:dyDescent="0.25">
      <c r="A17" s="369"/>
      <c r="B17" s="369"/>
      <c r="C17" s="369"/>
      <c r="D17" s="369"/>
      <c r="E17" s="369"/>
      <c r="F17" s="369" t="s">
        <v>177</v>
      </c>
      <c r="G17" s="369"/>
      <c r="H17" s="366">
        <v>0</v>
      </c>
      <c r="I17" s="274"/>
      <c r="J17" s="366">
        <v>0</v>
      </c>
      <c r="K17" s="274"/>
      <c r="L17" s="366">
        <v>0</v>
      </c>
      <c r="M17" s="274"/>
      <c r="N17" s="366">
        <v>0</v>
      </c>
      <c r="O17" s="274"/>
      <c r="P17" s="366">
        <v>10</v>
      </c>
      <c r="Q17" s="274"/>
      <c r="R17" s="366">
        <v>2.5</v>
      </c>
      <c r="S17" s="274"/>
      <c r="T17" s="366">
        <v>0</v>
      </c>
      <c r="U17" s="274"/>
      <c r="V17" s="366">
        <v>0</v>
      </c>
      <c r="W17" s="274"/>
      <c r="X17" s="366">
        <v>0</v>
      </c>
      <c r="Y17" s="274"/>
      <c r="Z17" s="366">
        <v>0</v>
      </c>
      <c r="AA17" s="274"/>
      <c r="AB17" s="366">
        <v>0</v>
      </c>
      <c r="AC17" s="274"/>
      <c r="AD17" s="366">
        <v>0</v>
      </c>
      <c r="AE17" s="274"/>
      <c r="AF17" s="366">
        <f>ROUND(SUM(H17:AD17),5)</f>
        <v>12.5</v>
      </c>
    </row>
    <row r="18" spans="1:32" x14ac:dyDescent="0.25">
      <c r="A18" s="369"/>
      <c r="B18" s="369"/>
      <c r="C18" s="369"/>
      <c r="D18" s="369"/>
      <c r="E18" s="369"/>
      <c r="F18" s="369" t="s">
        <v>178</v>
      </c>
      <c r="G18" s="369"/>
      <c r="H18" s="366">
        <v>102.99</v>
      </c>
      <c r="I18" s="274"/>
      <c r="J18" s="366">
        <v>622.19000000000005</v>
      </c>
      <c r="K18" s="274"/>
      <c r="L18" s="366">
        <v>2729</v>
      </c>
      <c r="M18" s="274"/>
      <c r="N18" s="366">
        <v>0</v>
      </c>
      <c r="O18" s="274"/>
      <c r="P18" s="366">
        <v>126</v>
      </c>
      <c r="Q18" s="274"/>
      <c r="R18" s="366">
        <v>277.33999999999997</v>
      </c>
      <c r="S18" s="274"/>
      <c r="T18" s="366">
        <v>51</v>
      </c>
      <c r="U18" s="274"/>
      <c r="V18" s="366">
        <v>280</v>
      </c>
      <c r="W18" s="274"/>
      <c r="X18" s="366">
        <v>104.5</v>
      </c>
      <c r="Y18" s="274"/>
      <c r="Z18" s="366">
        <v>0</v>
      </c>
      <c r="AA18" s="274"/>
      <c r="AB18" s="366">
        <v>407.87</v>
      </c>
      <c r="AC18" s="274"/>
      <c r="AD18" s="366">
        <v>527.33000000000004</v>
      </c>
      <c r="AE18" s="274"/>
      <c r="AF18" s="366">
        <f>ROUND(SUM(H18:AD18),5)</f>
        <v>5228.22</v>
      </c>
    </row>
    <row r="19" spans="1:32" x14ac:dyDescent="0.25">
      <c r="A19" s="369"/>
      <c r="B19" s="369"/>
      <c r="C19" s="369"/>
      <c r="D19" s="369"/>
      <c r="E19" s="369"/>
      <c r="F19" s="369" t="s">
        <v>179</v>
      </c>
      <c r="G19" s="369"/>
      <c r="H19" s="366">
        <v>28</v>
      </c>
      <c r="I19" s="274"/>
      <c r="J19" s="366">
        <v>120</v>
      </c>
      <c r="K19" s="274"/>
      <c r="L19" s="366">
        <v>682</v>
      </c>
      <c r="M19" s="274"/>
      <c r="N19" s="366">
        <v>161.46</v>
      </c>
      <c r="O19" s="274"/>
      <c r="P19" s="366">
        <v>-327.07</v>
      </c>
      <c r="Q19" s="274"/>
      <c r="R19" s="366">
        <v>-50.46</v>
      </c>
      <c r="S19" s="274"/>
      <c r="T19" s="366">
        <v>14</v>
      </c>
      <c r="U19" s="274"/>
      <c r="V19" s="366">
        <v>-83.46</v>
      </c>
      <c r="W19" s="274"/>
      <c r="X19" s="366">
        <v>42</v>
      </c>
      <c r="Y19" s="274"/>
      <c r="Z19" s="366">
        <v>0</v>
      </c>
      <c r="AA19" s="274"/>
      <c r="AB19" s="366">
        <v>20</v>
      </c>
      <c r="AC19" s="274"/>
      <c r="AD19" s="366">
        <v>8</v>
      </c>
      <c r="AE19" s="274"/>
      <c r="AF19" s="366">
        <f>ROUND(SUM(H19:AD19),5)</f>
        <v>614.47</v>
      </c>
    </row>
    <row r="20" spans="1:32" x14ac:dyDescent="0.25">
      <c r="A20" s="369"/>
      <c r="B20" s="369"/>
      <c r="C20" s="369"/>
      <c r="D20" s="369"/>
      <c r="E20" s="369"/>
      <c r="F20" s="369" t="s">
        <v>180</v>
      </c>
      <c r="G20" s="369"/>
      <c r="H20" s="366">
        <v>0</v>
      </c>
      <c r="I20" s="274"/>
      <c r="J20" s="366">
        <v>0</v>
      </c>
      <c r="K20" s="274"/>
      <c r="L20" s="366">
        <v>0</v>
      </c>
      <c r="M20" s="274"/>
      <c r="N20" s="366">
        <v>0</v>
      </c>
      <c r="O20" s="274"/>
      <c r="P20" s="366">
        <v>0</v>
      </c>
      <c r="Q20" s="274"/>
      <c r="R20" s="366">
        <v>7052</v>
      </c>
      <c r="S20" s="274"/>
      <c r="T20" s="366">
        <v>63</v>
      </c>
      <c r="U20" s="274"/>
      <c r="V20" s="366">
        <v>0</v>
      </c>
      <c r="W20" s="274"/>
      <c r="X20" s="366">
        <v>0</v>
      </c>
      <c r="Y20" s="274"/>
      <c r="Z20" s="366">
        <v>0</v>
      </c>
      <c r="AA20" s="274"/>
      <c r="AB20" s="366">
        <v>0</v>
      </c>
      <c r="AC20" s="274"/>
      <c r="AD20" s="366">
        <v>0</v>
      </c>
      <c r="AE20" s="274"/>
      <c r="AF20" s="366">
        <f>ROUND(SUM(H20:AD20),5)</f>
        <v>7115</v>
      </c>
    </row>
    <row r="21" spans="1:32" x14ac:dyDescent="0.25">
      <c r="A21" s="369"/>
      <c r="B21" s="369"/>
      <c r="C21" s="369"/>
      <c r="D21" s="369"/>
      <c r="E21" s="369"/>
      <c r="F21" s="369" t="s">
        <v>181</v>
      </c>
      <c r="G21" s="369"/>
      <c r="H21" s="366">
        <v>0</v>
      </c>
      <c r="I21" s="274"/>
      <c r="J21" s="366">
        <v>0</v>
      </c>
      <c r="K21" s="274"/>
      <c r="L21" s="366">
        <v>0</v>
      </c>
      <c r="M21" s="274"/>
      <c r="N21" s="366">
        <v>1505</v>
      </c>
      <c r="O21" s="274"/>
      <c r="P21" s="366">
        <v>0</v>
      </c>
      <c r="Q21" s="274"/>
      <c r="R21" s="366">
        <v>0</v>
      </c>
      <c r="S21" s="274"/>
      <c r="T21" s="366">
        <v>0</v>
      </c>
      <c r="U21" s="274"/>
      <c r="V21" s="366">
        <v>0</v>
      </c>
      <c r="W21" s="274"/>
      <c r="X21" s="366">
        <v>0</v>
      </c>
      <c r="Y21" s="274"/>
      <c r="Z21" s="366">
        <v>0</v>
      </c>
      <c r="AA21" s="274"/>
      <c r="AB21" s="366">
        <v>0</v>
      </c>
      <c r="AC21" s="274"/>
      <c r="AD21" s="366">
        <v>0</v>
      </c>
      <c r="AE21" s="274"/>
      <c r="AF21" s="366">
        <f>ROUND(SUM(H21:AD21),5)</f>
        <v>1505</v>
      </c>
    </row>
    <row r="22" spans="1:32" x14ac:dyDescent="0.25">
      <c r="A22" s="369"/>
      <c r="B22" s="369"/>
      <c r="C22" s="369"/>
      <c r="D22" s="369"/>
      <c r="E22" s="369"/>
      <c r="F22" s="369" t="s">
        <v>182</v>
      </c>
      <c r="G22" s="369"/>
      <c r="H22" s="366"/>
      <c r="I22" s="274"/>
      <c r="J22" s="366"/>
      <c r="K22" s="274"/>
      <c r="L22" s="366"/>
      <c r="M22" s="274"/>
      <c r="N22" s="366"/>
      <c r="O22" s="274"/>
      <c r="P22" s="366"/>
      <c r="Q22" s="274"/>
      <c r="R22" s="366"/>
      <c r="S22" s="274"/>
      <c r="T22" s="366"/>
      <c r="U22" s="274"/>
      <c r="V22" s="366"/>
      <c r="W22" s="274"/>
      <c r="X22" s="366"/>
      <c r="Y22" s="274"/>
      <c r="Z22" s="366"/>
      <c r="AA22" s="274"/>
      <c r="AB22" s="366"/>
      <c r="AC22" s="274"/>
      <c r="AD22" s="366"/>
      <c r="AE22" s="274"/>
      <c r="AF22" s="366"/>
    </row>
    <row r="23" spans="1:32" x14ac:dyDescent="0.25">
      <c r="A23" s="369"/>
      <c r="B23" s="369"/>
      <c r="C23" s="369"/>
      <c r="D23" s="369"/>
      <c r="E23" s="369"/>
      <c r="F23" s="369"/>
      <c r="G23" s="369" t="s">
        <v>454</v>
      </c>
      <c r="H23" s="366">
        <v>0</v>
      </c>
      <c r="I23" s="274"/>
      <c r="J23" s="366">
        <v>0</v>
      </c>
      <c r="K23" s="274"/>
      <c r="L23" s="366">
        <v>0</v>
      </c>
      <c r="M23" s="274"/>
      <c r="N23" s="366">
        <v>0</v>
      </c>
      <c r="O23" s="274"/>
      <c r="P23" s="366">
        <v>0</v>
      </c>
      <c r="Q23" s="274"/>
      <c r="R23" s="366">
        <v>0</v>
      </c>
      <c r="S23" s="274"/>
      <c r="T23" s="366">
        <v>0</v>
      </c>
      <c r="U23" s="274"/>
      <c r="V23" s="366">
        <v>0</v>
      </c>
      <c r="W23" s="274"/>
      <c r="X23" s="366">
        <v>0</v>
      </c>
      <c r="Y23" s="274"/>
      <c r="Z23" s="366">
        <v>-157.5</v>
      </c>
      <c r="AA23" s="274"/>
      <c r="AB23" s="366">
        <v>0</v>
      </c>
      <c r="AC23" s="274"/>
      <c r="AD23" s="366">
        <v>0</v>
      </c>
      <c r="AE23" s="274"/>
      <c r="AF23" s="366">
        <f t="shared" ref="AF23:AF32" si="1">ROUND(SUM(H23:AD23),5)</f>
        <v>-157.5</v>
      </c>
    </row>
    <row r="24" spans="1:32" x14ac:dyDescent="0.25">
      <c r="A24" s="369"/>
      <c r="B24" s="369"/>
      <c r="C24" s="369"/>
      <c r="D24" s="369"/>
      <c r="E24" s="369"/>
      <c r="F24" s="369"/>
      <c r="G24" s="369" t="s">
        <v>183</v>
      </c>
      <c r="H24" s="366">
        <v>2648.45</v>
      </c>
      <c r="I24" s="274"/>
      <c r="J24" s="366">
        <v>1200</v>
      </c>
      <c r="K24" s="274"/>
      <c r="L24" s="366">
        <v>0</v>
      </c>
      <c r="M24" s="274"/>
      <c r="N24" s="366">
        <v>0</v>
      </c>
      <c r="O24" s="274"/>
      <c r="P24" s="366">
        <v>0</v>
      </c>
      <c r="Q24" s="274"/>
      <c r="R24" s="366">
        <v>0</v>
      </c>
      <c r="S24" s="274"/>
      <c r="T24" s="366">
        <v>-195.89</v>
      </c>
      <c r="U24" s="274"/>
      <c r="V24" s="366">
        <v>0</v>
      </c>
      <c r="W24" s="274"/>
      <c r="X24" s="366">
        <v>11</v>
      </c>
      <c r="Y24" s="274"/>
      <c r="Z24" s="366">
        <v>2723.2</v>
      </c>
      <c r="AA24" s="274"/>
      <c r="AB24" s="366">
        <v>0</v>
      </c>
      <c r="AC24" s="274"/>
      <c r="AD24" s="366">
        <v>-18.440000000000001</v>
      </c>
      <c r="AE24" s="274"/>
      <c r="AF24" s="366">
        <f t="shared" si="1"/>
        <v>6368.32</v>
      </c>
    </row>
    <row r="25" spans="1:32" x14ac:dyDescent="0.25">
      <c r="A25" s="369"/>
      <c r="B25" s="369"/>
      <c r="C25" s="369"/>
      <c r="D25" s="369"/>
      <c r="E25" s="369"/>
      <c r="F25" s="369"/>
      <c r="G25" s="369" t="s">
        <v>184</v>
      </c>
      <c r="H25" s="366">
        <v>14180</v>
      </c>
      <c r="I25" s="274"/>
      <c r="J25" s="366">
        <v>7950</v>
      </c>
      <c r="K25" s="274"/>
      <c r="L25" s="366">
        <v>2650</v>
      </c>
      <c r="M25" s="274"/>
      <c r="N25" s="366">
        <v>1800</v>
      </c>
      <c r="O25" s="274"/>
      <c r="P25" s="366">
        <v>2750</v>
      </c>
      <c r="Q25" s="274"/>
      <c r="R25" s="366">
        <v>3400</v>
      </c>
      <c r="S25" s="274"/>
      <c r="T25" s="366">
        <v>13200</v>
      </c>
      <c r="U25" s="274"/>
      <c r="V25" s="366">
        <v>7420</v>
      </c>
      <c r="W25" s="274"/>
      <c r="X25" s="366">
        <v>7600</v>
      </c>
      <c r="Y25" s="274"/>
      <c r="Z25" s="366">
        <v>9150</v>
      </c>
      <c r="AA25" s="274"/>
      <c r="AB25" s="366">
        <v>2600</v>
      </c>
      <c r="AC25" s="274"/>
      <c r="AD25" s="366">
        <v>25600</v>
      </c>
      <c r="AE25" s="274"/>
      <c r="AF25" s="366">
        <f t="shared" si="1"/>
        <v>98300</v>
      </c>
    </row>
    <row r="26" spans="1:32" x14ac:dyDescent="0.25">
      <c r="A26" s="369"/>
      <c r="B26" s="369"/>
      <c r="C26" s="369"/>
      <c r="D26" s="369"/>
      <c r="E26" s="369"/>
      <c r="F26" s="369"/>
      <c r="G26" s="369" t="s">
        <v>185</v>
      </c>
      <c r="H26" s="366">
        <v>1600</v>
      </c>
      <c r="I26" s="274"/>
      <c r="J26" s="366">
        <v>1400</v>
      </c>
      <c r="K26" s="274"/>
      <c r="L26" s="366">
        <v>400</v>
      </c>
      <c r="M26" s="274"/>
      <c r="N26" s="366">
        <v>600</v>
      </c>
      <c r="O26" s="274"/>
      <c r="P26" s="366">
        <v>0</v>
      </c>
      <c r="Q26" s="274"/>
      <c r="R26" s="366">
        <v>600</v>
      </c>
      <c r="S26" s="274"/>
      <c r="T26" s="366">
        <v>800</v>
      </c>
      <c r="U26" s="274"/>
      <c r="V26" s="366">
        <v>400</v>
      </c>
      <c r="W26" s="274"/>
      <c r="X26" s="366">
        <v>400</v>
      </c>
      <c r="Y26" s="274"/>
      <c r="Z26" s="366">
        <v>600</v>
      </c>
      <c r="AA26" s="274"/>
      <c r="AB26" s="366">
        <v>600</v>
      </c>
      <c r="AC26" s="274"/>
      <c r="AD26" s="366">
        <v>0</v>
      </c>
      <c r="AE26" s="274"/>
      <c r="AF26" s="366">
        <f t="shared" si="1"/>
        <v>7400</v>
      </c>
    </row>
    <row r="27" spans="1:32" ht="15.75" thickBot="1" x14ac:dyDescent="0.3">
      <c r="A27" s="369"/>
      <c r="B27" s="369"/>
      <c r="C27" s="369"/>
      <c r="D27" s="369"/>
      <c r="E27" s="369"/>
      <c r="F27" s="369"/>
      <c r="G27" s="369" t="s">
        <v>473</v>
      </c>
      <c r="H27" s="365">
        <v>0</v>
      </c>
      <c r="I27" s="274"/>
      <c r="J27" s="365">
        <v>0</v>
      </c>
      <c r="K27" s="274"/>
      <c r="L27" s="365">
        <v>0</v>
      </c>
      <c r="M27" s="274"/>
      <c r="N27" s="365">
        <v>0</v>
      </c>
      <c r="O27" s="274"/>
      <c r="P27" s="365">
        <v>0</v>
      </c>
      <c r="Q27" s="274"/>
      <c r="R27" s="365">
        <v>0</v>
      </c>
      <c r="S27" s="274"/>
      <c r="T27" s="365">
        <v>0</v>
      </c>
      <c r="U27" s="274"/>
      <c r="V27" s="365">
        <v>0</v>
      </c>
      <c r="W27" s="274"/>
      <c r="X27" s="365">
        <v>0</v>
      </c>
      <c r="Y27" s="274"/>
      <c r="Z27" s="365">
        <v>0</v>
      </c>
      <c r="AA27" s="274"/>
      <c r="AB27" s="365">
        <v>0</v>
      </c>
      <c r="AC27" s="274"/>
      <c r="AD27" s="365">
        <v>125</v>
      </c>
      <c r="AE27" s="274"/>
      <c r="AF27" s="365">
        <f t="shared" si="1"/>
        <v>125</v>
      </c>
    </row>
    <row r="28" spans="1:32" ht="15.75" thickBot="1" x14ac:dyDescent="0.3">
      <c r="A28" s="369"/>
      <c r="B28" s="369"/>
      <c r="C28" s="369"/>
      <c r="D28" s="369"/>
      <c r="E28" s="369"/>
      <c r="F28" s="369" t="s">
        <v>186</v>
      </c>
      <c r="G28" s="369"/>
      <c r="H28" s="276">
        <f>ROUND(SUM(H22:H27),5)</f>
        <v>18428.45</v>
      </c>
      <c r="I28" s="274"/>
      <c r="J28" s="276">
        <f>ROUND(SUM(J22:J27),5)</f>
        <v>10550</v>
      </c>
      <c r="K28" s="274"/>
      <c r="L28" s="276">
        <f>ROUND(SUM(L22:L27),5)</f>
        <v>3050</v>
      </c>
      <c r="M28" s="274"/>
      <c r="N28" s="276">
        <f>ROUND(SUM(N22:N27),5)</f>
        <v>2400</v>
      </c>
      <c r="O28" s="274"/>
      <c r="P28" s="276">
        <f>ROUND(SUM(P22:P27),5)</f>
        <v>2750</v>
      </c>
      <c r="Q28" s="274"/>
      <c r="R28" s="276">
        <f>ROUND(SUM(R22:R27),5)</f>
        <v>4000</v>
      </c>
      <c r="S28" s="274"/>
      <c r="T28" s="276">
        <f>ROUND(SUM(T22:T27),5)</f>
        <v>13804.11</v>
      </c>
      <c r="U28" s="274"/>
      <c r="V28" s="276">
        <f>ROUND(SUM(V22:V27),5)</f>
        <v>7820</v>
      </c>
      <c r="W28" s="274"/>
      <c r="X28" s="276">
        <f>ROUND(SUM(X22:X27),5)</f>
        <v>8011</v>
      </c>
      <c r="Y28" s="274"/>
      <c r="Z28" s="276">
        <f>ROUND(SUM(Z22:Z27),5)</f>
        <v>12315.7</v>
      </c>
      <c r="AA28" s="274"/>
      <c r="AB28" s="276">
        <f>ROUND(SUM(AB22:AB27),5)</f>
        <v>3200</v>
      </c>
      <c r="AC28" s="274"/>
      <c r="AD28" s="276">
        <f>ROUND(SUM(AD22:AD27),5)</f>
        <v>25706.560000000001</v>
      </c>
      <c r="AE28" s="274"/>
      <c r="AF28" s="276">
        <f t="shared" si="1"/>
        <v>112035.82</v>
      </c>
    </row>
    <row r="29" spans="1:32" x14ac:dyDescent="0.25">
      <c r="A29" s="369"/>
      <c r="B29" s="369"/>
      <c r="C29" s="369"/>
      <c r="D29" s="369"/>
      <c r="E29" s="369" t="s">
        <v>187</v>
      </c>
      <c r="F29" s="369"/>
      <c r="G29" s="369"/>
      <c r="H29" s="366">
        <f>ROUND(SUM(H16:H21)+H28,5)</f>
        <v>18559.439999999999</v>
      </c>
      <c r="I29" s="274"/>
      <c r="J29" s="366">
        <f>ROUND(SUM(J16:J21)+J28,5)</f>
        <v>11292.19</v>
      </c>
      <c r="K29" s="274"/>
      <c r="L29" s="366">
        <f>ROUND(SUM(L16:L21)+L28,5)</f>
        <v>6461</v>
      </c>
      <c r="M29" s="274"/>
      <c r="N29" s="366">
        <f>ROUND(SUM(N16:N21)+N28,5)</f>
        <v>4066.46</v>
      </c>
      <c r="O29" s="274"/>
      <c r="P29" s="366">
        <f>ROUND(SUM(P16:P21)+P28,5)</f>
        <v>2558.9299999999998</v>
      </c>
      <c r="Q29" s="274"/>
      <c r="R29" s="366">
        <f>ROUND(SUM(R16:R21)+R28,5)</f>
        <v>11281.38</v>
      </c>
      <c r="S29" s="274"/>
      <c r="T29" s="366">
        <f>ROUND(SUM(T16:T21)+T28,5)</f>
        <v>13932.11</v>
      </c>
      <c r="U29" s="274"/>
      <c r="V29" s="366">
        <f>ROUND(SUM(V16:V21)+V28,5)</f>
        <v>8016.54</v>
      </c>
      <c r="W29" s="274"/>
      <c r="X29" s="366">
        <f>ROUND(SUM(X16:X21)+X28,5)</f>
        <v>8157.5</v>
      </c>
      <c r="Y29" s="274"/>
      <c r="Z29" s="366">
        <f>ROUND(SUM(Z16:Z21)+Z28,5)</f>
        <v>12315.7</v>
      </c>
      <c r="AA29" s="274"/>
      <c r="AB29" s="366">
        <f>ROUND(SUM(AB16:AB21)+AB28,5)</f>
        <v>3627.87</v>
      </c>
      <c r="AC29" s="274"/>
      <c r="AD29" s="366">
        <f>ROUND(SUM(AD16:AD21)+AD28,5)</f>
        <v>26241.89</v>
      </c>
      <c r="AE29" s="274"/>
      <c r="AF29" s="366">
        <f t="shared" si="1"/>
        <v>126511.01</v>
      </c>
    </row>
    <row r="30" spans="1:32" x14ac:dyDescent="0.25">
      <c r="A30" s="369"/>
      <c r="B30" s="369"/>
      <c r="C30" s="369"/>
      <c r="D30" s="369"/>
      <c r="E30" s="369" t="s">
        <v>135</v>
      </c>
      <c r="F30" s="369"/>
      <c r="G30" s="369"/>
      <c r="H30" s="366">
        <v>175</v>
      </c>
      <c r="I30" s="274"/>
      <c r="J30" s="366">
        <v>175</v>
      </c>
      <c r="K30" s="274"/>
      <c r="L30" s="366">
        <v>-175</v>
      </c>
      <c r="M30" s="274"/>
      <c r="N30" s="366">
        <v>175</v>
      </c>
      <c r="O30" s="274"/>
      <c r="P30" s="366">
        <v>175</v>
      </c>
      <c r="Q30" s="274"/>
      <c r="R30" s="366">
        <v>175</v>
      </c>
      <c r="S30" s="274"/>
      <c r="T30" s="366">
        <v>175</v>
      </c>
      <c r="U30" s="274"/>
      <c r="V30" s="366">
        <v>175</v>
      </c>
      <c r="W30" s="274"/>
      <c r="X30" s="366">
        <v>175</v>
      </c>
      <c r="Y30" s="274"/>
      <c r="Z30" s="366">
        <v>175</v>
      </c>
      <c r="AA30" s="274"/>
      <c r="AB30" s="366">
        <v>175</v>
      </c>
      <c r="AC30" s="274"/>
      <c r="AD30" s="366">
        <v>175</v>
      </c>
      <c r="AE30" s="274"/>
      <c r="AF30" s="366">
        <f t="shared" si="1"/>
        <v>1750</v>
      </c>
    </row>
    <row r="31" spans="1:32" ht="15.75" thickBot="1" x14ac:dyDescent="0.3">
      <c r="A31" s="369"/>
      <c r="B31" s="369"/>
      <c r="C31" s="369"/>
      <c r="D31" s="369"/>
      <c r="E31" s="369" t="s">
        <v>136</v>
      </c>
      <c r="F31" s="369"/>
      <c r="G31" s="369"/>
      <c r="H31" s="275">
        <v>102.58</v>
      </c>
      <c r="I31" s="274"/>
      <c r="J31" s="275">
        <v>87.87</v>
      </c>
      <c r="K31" s="274"/>
      <c r="L31" s="275">
        <v>97.15</v>
      </c>
      <c r="M31" s="274"/>
      <c r="N31" s="275">
        <v>94.3</v>
      </c>
      <c r="O31" s="274"/>
      <c r="P31" s="275">
        <v>31.97</v>
      </c>
      <c r="Q31" s="274"/>
      <c r="R31" s="275">
        <v>141.9</v>
      </c>
      <c r="S31" s="274"/>
      <c r="T31" s="275">
        <v>81.17</v>
      </c>
      <c r="U31" s="274"/>
      <c r="V31" s="275">
        <v>78.599999999999994</v>
      </c>
      <c r="W31" s="274"/>
      <c r="X31" s="275">
        <v>86.88</v>
      </c>
      <c r="Y31" s="274"/>
      <c r="Z31" s="275">
        <v>75.91</v>
      </c>
      <c r="AA31" s="274"/>
      <c r="AB31" s="275">
        <v>9.73</v>
      </c>
      <c r="AC31" s="274"/>
      <c r="AD31" s="275">
        <v>80.540000000000006</v>
      </c>
      <c r="AE31" s="274"/>
      <c r="AF31" s="275">
        <f t="shared" si="1"/>
        <v>968.6</v>
      </c>
    </row>
    <row r="32" spans="1:32" x14ac:dyDescent="0.25">
      <c r="A32" s="369"/>
      <c r="B32" s="369"/>
      <c r="C32" s="369"/>
      <c r="D32" s="369" t="s">
        <v>9</v>
      </c>
      <c r="E32" s="369"/>
      <c r="F32" s="369"/>
      <c r="G32" s="369"/>
      <c r="H32" s="366">
        <f>ROUND(H3+H8+H15+SUM(H29:H31),5)</f>
        <v>74031.62</v>
      </c>
      <c r="I32" s="274"/>
      <c r="J32" s="366">
        <f>ROUND(J3+J8+J15+SUM(J29:J31),5)</f>
        <v>36709.07</v>
      </c>
      <c r="K32" s="274"/>
      <c r="L32" s="366">
        <f>ROUND(L3+L8+L15+SUM(L29:L31),5)</f>
        <v>16811.13</v>
      </c>
      <c r="M32" s="274"/>
      <c r="N32" s="366">
        <f>ROUND(N3+N8+N15+SUM(N29:N31),5)</f>
        <v>54543.25</v>
      </c>
      <c r="O32" s="274"/>
      <c r="P32" s="366">
        <f>ROUND(P3+P8+P15+SUM(P29:P31),5)</f>
        <v>46128.11</v>
      </c>
      <c r="Q32" s="274"/>
      <c r="R32" s="366">
        <f>ROUND(R3+R8+R15+SUM(R29:R31),5)</f>
        <v>6833.85</v>
      </c>
      <c r="S32" s="274"/>
      <c r="T32" s="366">
        <f>ROUND(T3+T8+T15+SUM(T29:T31),5)</f>
        <v>24747.31</v>
      </c>
      <c r="U32" s="274"/>
      <c r="V32" s="366">
        <f>ROUND(V3+V8+V15+SUM(V29:V31),5)</f>
        <v>15167.01</v>
      </c>
      <c r="W32" s="274"/>
      <c r="X32" s="366">
        <f>ROUND(X3+X8+X15+SUM(X29:X31),5)</f>
        <v>26857.18</v>
      </c>
      <c r="Y32" s="274"/>
      <c r="Z32" s="366">
        <f>ROUND(Z3+Z8+Z15+SUM(Z29:Z31),5)</f>
        <v>77645.19</v>
      </c>
      <c r="AA32" s="274"/>
      <c r="AB32" s="366">
        <f>ROUND(AB3+AB8+AB15+SUM(AB29:AB31),5)</f>
        <v>34533.699999999997</v>
      </c>
      <c r="AC32" s="274"/>
      <c r="AD32" s="366">
        <f>ROUND(AD3+AD8+AD15+SUM(AD29:AD31),5)</f>
        <v>87335.34</v>
      </c>
      <c r="AE32" s="274"/>
      <c r="AF32" s="366">
        <f t="shared" si="1"/>
        <v>501342.76</v>
      </c>
    </row>
    <row r="33" spans="1:32" x14ac:dyDescent="0.25">
      <c r="A33" s="369"/>
      <c r="B33" s="369"/>
      <c r="C33" s="369"/>
      <c r="D33" s="369" t="s">
        <v>137</v>
      </c>
      <c r="E33" s="369"/>
      <c r="F33" s="369"/>
      <c r="G33" s="369"/>
      <c r="H33" s="366"/>
      <c r="I33" s="274"/>
      <c r="J33" s="366"/>
      <c r="K33" s="274"/>
      <c r="L33" s="366"/>
      <c r="M33" s="274"/>
      <c r="N33" s="366"/>
      <c r="O33" s="274"/>
      <c r="P33" s="366"/>
      <c r="Q33" s="274"/>
      <c r="R33" s="366"/>
      <c r="S33" s="274"/>
      <c r="T33" s="366"/>
      <c r="U33" s="274"/>
      <c r="V33" s="366"/>
      <c r="W33" s="274"/>
      <c r="X33" s="366"/>
      <c r="Y33" s="274"/>
      <c r="Z33" s="366"/>
      <c r="AA33" s="274"/>
      <c r="AB33" s="366"/>
      <c r="AC33" s="274"/>
      <c r="AD33" s="366"/>
      <c r="AE33" s="274"/>
      <c r="AF33" s="366"/>
    </row>
    <row r="34" spans="1:32" ht="15.75" thickBot="1" x14ac:dyDescent="0.3">
      <c r="A34" s="369"/>
      <c r="B34" s="369"/>
      <c r="C34" s="369"/>
      <c r="D34" s="369"/>
      <c r="E34" s="369" t="s">
        <v>138</v>
      </c>
      <c r="F34" s="369"/>
      <c r="G34" s="369"/>
      <c r="H34" s="365">
        <v>48.03</v>
      </c>
      <c r="I34" s="274"/>
      <c r="J34" s="365">
        <v>192.42</v>
      </c>
      <c r="K34" s="274"/>
      <c r="L34" s="365">
        <v>23.65</v>
      </c>
      <c r="M34" s="274"/>
      <c r="N34" s="365">
        <v>0</v>
      </c>
      <c r="O34" s="274"/>
      <c r="P34" s="365">
        <v>23.96</v>
      </c>
      <c r="Q34" s="274"/>
      <c r="R34" s="365">
        <v>8.11</v>
      </c>
      <c r="S34" s="274"/>
      <c r="T34" s="365">
        <v>9.33</v>
      </c>
      <c r="U34" s="274"/>
      <c r="V34" s="365">
        <v>0</v>
      </c>
      <c r="W34" s="274"/>
      <c r="X34" s="365">
        <v>23.66</v>
      </c>
      <c r="Y34" s="274"/>
      <c r="Z34" s="365">
        <v>0</v>
      </c>
      <c r="AA34" s="274"/>
      <c r="AB34" s="365">
        <v>1.71</v>
      </c>
      <c r="AC34" s="274"/>
      <c r="AD34" s="365">
        <v>6.83</v>
      </c>
      <c r="AE34" s="274"/>
      <c r="AF34" s="365">
        <f>ROUND(SUM(H34:AD34),5)</f>
        <v>337.7</v>
      </c>
    </row>
    <row r="35" spans="1:32" ht="15.75" thickBot="1" x14ac:dyDescent="0.3">
      <c r="A35" s="369"/>
      <c r="B35" s="369"/>
      <c r="C35" s="369"/>
      <c r="D35" s="369" t="s">
        <v>139</v>
      </c>
      <c r="E35" s="369"/>
      <c r="F35" s="369"/>
      <c r="G35" s="369"/>
      <c r="H35" s="276">
        <f>ROUND(SUM(H33:H34),5)</f>
        <v>48.03</v>
      </c>
      <c r="I35" s="274"/>
      <c r="J35" s="276">
        <f>ROUND(SUM(J33:J34),5)</f>
        <v>192.42</v>
      </c>
      <c r="K35" s="274"/>
      <c r="L35" s="276">
        <f>ROUND(SUM(L33:L34),5)</f>
        <v>23.65</v>
      </c>
      <c r="M35" s="274"/>
      <c r="N35" s="276">
        <f>ROUND(SUM(N33:N34),5)</f>
        <v>0</v>
      </c>
      <c r="O35" s="274"/>
      <c r="P35" s="276">
        <f>ROUND(SUM(P33:P34),5)</f>
        <v>23.96</v>
      </c>
      <c r="Q35" s="274"/>
      <c r="R35" s="276">
        <f>ROUND(SUM(R33:R34),5)</f>
        <v>8.11</v>
      </c>
      <c r="S35" s="274"/>
      <c r="T35" s="276">
        <f>ROUND(SUM(T33:T34),5)</f>
        <v>9.33</v>
      </c>
      <c r="U35" s="274"/>
      <c r="V35" s="276">
        <f>ROUND(SUM(V33:V34),5)</f>
        <v>0</v>
      </c>
      <c r="W35" s="274"/>
      <c r="X35" s="276">
        <f>ROUND(SUM(X33:X34),5)</f>
        <v>23.66</v>
      </c>
      <c r="Y35" s="274"/>
      <c r="Z35" s="276">
        <f>ROUND(SUM(Z33:Z34),5)</f>
        <v>0</v>
      </c>
      <c r="AA35" s="274"/>
      <c r="AB35" s="276">
        <f>ROUND(SUM(AB33:AB34),5)</f>
        <v>1.71</v>
      </c>
      <c r="AC35" s="274"/>
      <c r="AD35" s="276">
        <f>ROUND(SUM(AD33:AD34),5)</f>
        <v>6.83</v>
      </c>
      <c r="AE35" s="274"/>
      <c r="AF35" s="276">
        <f>ROUND(SUM(H35:AD35),5)</f>
        <v>337.7</v>
      </c>
    </row>
    <row r="36" spans="1:32" x14ac:dyDescent="0.25">
      <c r="A36" s="369"/>
      <c r="B36" s="369"/>
      <c r="C36" s="369" t="s">
        <v>140</v>
      </c>
      <c r="D36" s="369"/>
      <c r="E36" s="369"/>
      <c r="F36" s="369"/>
      <c r="G36" s="369"/>
      <c r="H36" s="366">
        <f>ROUND(H32-H35,5)</f>
        <v>73983.59</v>
      </c>
      <c r="I36" s="274"/>
      <c r="J36" s="366">
        <f>ROUND(J32-J35,5)</f>
        <v>36516.65</v>
      </c>
      <c r="K36" s="274"/>
      <c r="L36" s="366">
        <f>ROUND(L32-L35,5)</f>
        <v>16787.48</v>
      </c>
      <c r="M36" s="274"/>
      <c r="N36" s="366">
        <f>ROUND(N32-N35,5)</f>
        <v>54543.25</v>
      </c>
      <c r="O36" s="274"/>
      <c r="P36" s="366">
        <f>ROUND(P32-P35,5)</f>
        <v>46104.15</v>
      </c>
      <c r="Q36" s="274"/>
      <c r="R36" s="366">
        <f>ROUND(R32-R35,5)</f>
        <v>6825.74</v>
      </c>
      <c r="S36" s="274"/>
      <c r="T36" s="366">
        <f>ROUND(T32-T35,5)</f>
        <v>24737.98</v>
      </c>
      <c r="U36" s="274"/>
      <c r="V36" s="366">
        <f>ROUND(V32-V35,5)</f>
        <v>15167.01</v>
      </c>
      <c r="W36" s="274"/>
      <c r="X36" s="366">
        <f>ROUND(X32-X35,5)</f>
        <v>26833.52</v>
      </c>
      <c r="Y36" s="274"/>
      <c r="Z36" s="366">
        <f>ROUND(Z32-Z35,5)</f>
        <v>77645.19</v>
      </c>
      <c r="AA36" s="274"/>
      <c r="AB36" s="366">
        <f>ROUND(AB32-AB35,5)</f>
        <v>34531.99</v>
      </c>
      <c r="AC36" s="274"/>
      <c r="AD36" s="366">
        <f>ROUND(AD32-AD35,5)</f>
        <v>87328.51</v>
      </c>
      <c r="AE36" s="274"/>
      <c r="AF36" s="366">
        <f>ROUND(SUM(H36:AD36),5)</f>
        <v>501005.06</v>
      </c>
    </row>
    <row r="37" spans="1:32" x14ac:dyDescent="0.25">
      <c r="A37" s="369"/>
      <c r="B37" s="369"/>
      <c r="C37" s="369"/>
      <c r="D37" s="369" t="s">
        <v>141</v>
      </c>
      <c r="E37" s="369"/>
      <c r="F37" s="369"/>
      <c r="G37" s="369"/>
      <c r="H37" s="366"/>
      <c r="I37" s="274"/>
      <c r="J37" s="366"/>
      <c r="K37" s="274"/>
      <c r="L37" s="366"/>
      <c r="M37" s="274"/>
      <c r="N37" s="366"/>
      <c r="O37" s="274"/>
      <c r="P37" s="366"/>
      <c r="Q37" s="274"/>
      <c r="R37" s="366"/>
      <c r="S37" s="274"/>
      <c r="T37" s="366"/>
      <c r="U37" s="274"/>
      <c r="V37" s="366"/>
      <c r="W37" s="274"/>
      <c r="X37" s="366"/>
      <c r="Y37" s="274"/>
      <c r="Z37" s="366"/>
      <c r="AA37" s="274"/>
      <c r="AB37" s="366"/>
      <c r="AC37" s="274"/>
      <c r="AD37" s="366"/>
      <c r="AE37" s="274"/>
      <c r="AF37" s="366"/>
    </row>
    <row r="38" spans="1:32" x14ac:dyDescent="0.25">
      <c r="A38" s="369"/>
      <c r="B38" s="369"/>
      <c r="C38" s="369"/>
      <c r="D38" s="369"/>
      <c r="E38" s="369" t="s">
        <v>142</v>
      </c>
      <c r="F38" s="369"/>
      <c r="G38" s="369"/>
      <c r="H38" s="366">
        <v>20185.66</v>
      </c>
      <c r="I38" s="274"/>
      <c r="J38" s="366">
        <v>22978.04</v>
      </c>
      <c r="K38" s="274"/>
      <c r="L38" s="366">
        <v>26011.55</v>
      </c>
      <c r="M38" s="274"/>
      <c r="N38" s="366">
        <v>31463.94</v>
      </c>
      <c r="O38" s="274"/>
      <c r="P38" s="366">
        <v>29916.86</v>
      </c>
      <c r="Q38" s="274"/>
      <c r="R38" s="366">
        <v>33811.61</v>
      </c>
      <c r="S38" s="274"/>
      <c r="T38" s="366">
        <v>23151.59</v>
      </c>
      <c r="U38" s="274"/>
      <c r="V38" s="366">
        <v>17473.150000000001</v>
      </c>
      <c r="W38" s="274"/>
      <c r="X38" s="366">
        <v>18953.73</v>
      </c>
      <c r="Y38" s="274"/>
      <c r="Z38" s="366">
        <v>27107.84</v>
      </c>
      <c r="AA38" s="274"/>
      <c r="AB38" s="366">
        <v>22301.25</v>
      </c>
      <c r="AC38" s="274"/>
      <c r="AD38" s="366">
        <v>25934.45</v>
      </c>
      <c r="AE38" s="274"/>
      <c r="AF38" s="366">
        <f t="shared" ref="AF38:AF58" si="2">ROUND(SUM(H38:AD38),5)</f>
        <v>299289.67</v>
      </c>
    </row>
    <row r="39" spans="1:32" x14ac:dyDescent="0.25">
      <c r="A39" s="369"/>
      <c r="B39" s="369"/>
      <c r="C39" s="369"/>
      <c r="D39" s="369"/>
      <c r="E39" s="369" t="s">
        <v>143</v>
      </c>
      <c r="F39" s="369"/>
      <c r="G39" s="369"/>
      <c r="H39" s="366">
        <v>1928.25</v>
      </c>
      <c r="I39" s="274"/>
      <c r="J39" s="366">
        <v>1157.5</v>
      </c>
      <c r="K39" s="274"/>
      <c r="L39" s="366">
        <v>1730.75</v>
      </c>
      <c r="M39" s="274"/>
      <c r="N39" s="366">
        <v>1010.5</v>
      </c>
      <c r="O39" s="274"/>
      <c r="P39" s="366">
        <v>0</v>
      </c>
      <c r="Q39" s="274"/>
      <c r="R39" s="366">
        <v>0</v>
      </c>
      <c r="S39" s="274"/>
      <c r="T39" s="366">
        <v>0</v>
      </c>
      <c r="U39" s="274"/>
      <c r="V39" s="366">
        <v>0</v>
      </c>
      <c r="W39" s="274"/>
      <c r="X39" s="366">
        <v>0</v>
      </c>
      <c r="Y39" s="274"/>
      <c r="Z39" s="366">
        <v>0</v>
      </c>
      <c r="AA39" s="274"/>
      <c r="AB39" s="366">
        <v>0</v>
      </c>
      <c r="AC39" s="274"/>
      <c r="AD39" s="366">
        <v>0</v>
      </c>
      <c r="AE39" s="274"/>
      <c r="AF39" s="366">
        <f t="shared" si="2"/>
        <v>5827</v>
      </c>
    </row>
    <row r="40" spans="1:32" x14ac:dyDescent="0.25">
      <c r="A40" s="369"/>
      <c r="B40" s="369"/>
      <c r="C40" s="369"/>
      <c r="D40" s="369"/>
      <c r="E40" s="369" t="s">
        <v>144</v>
      </c>
      <c r="F40" s="369"/>
      <c r="G40" s="369"/>
      <c r="H40" s="366">
        <v>322.41000000000003</v>
      </c>
      <c r="I40" s="274"/>
      <c r="J40" s="366">
        <v>469.01</v>
      </c>
      <c r="K40" s="274"/>
      <c r="L40" s="366">
        <v>465.4</v>
      </c>
      <c r="M40" s="274"/>
      <c r="N40" s="366">
        <v>1794.45</v>
      </c>
      <c r="O40" s="274"/>
      <c r="P40" s="366">
        <v>831.98</v>
      </c>
      <c r="Q40" s="274"/>
      <c r="R40" s="366">
        <v>425.73</v>
      </c>
      <c r="S40" s="274"/>
      <c r="T40" s="366">
        <v>531.98</v>
      </c>
      <c r="U40" s="274"/>
      <c r="V40" s="366">
        <v>738.49</v>
      </c>
      <c r="W40" s="274"/>
      <c r="X40" s="366">
        <v>371.88</v>
      </c>
      <c r="Y40" s="274"/>
      <c r="Z40" s="366">
        <v>545.48</v>
      </c>
      <c r="AA40" s="274"/>
      <c r="AB40" s="366">
        <v>524.28</v>
      </c>
      <c r="AC40" s="274"/>
      <c r="AD40" s="366">
        <v>725.15</v>
      </c>
      <c r="AE40" s="274"/>
      <c r="AF40" s="366">
        <f t="shared" si="2"/>
        <v>7746.24</v>
      </c>
    </row>
    <row r="41" spans="1:32" x14ac:dyDescent="0.25">
      <c r="A41" s="369"/>
      <c r="B41" s="369"/>
      <c r="C41" s="369"/>
      <c r="D41" s="369"/>
      <c r="E41" s="369" t="s">
        <v>145</v>
      </c>
      <c r="F41" s="369"/>
      <c r="G41" s="369"/>
      <c r="H41" s="366">
        <v>1223</v>
      </c>
      <c r="I41" s="274"/>
      <c r="J41" s="366">
        <v>112.5</v>
      </c>
      <c r="K41" s="274"/>
      <c r="L41" s="366">
        <v>0</v>
      </c>
      <c r="M41" s="274"/>
      <c r="N41" s="366">
        <v>0</v>
      </c>
      <c r="O41" s="274"/>
      <c r="P41" s="366">
        <v>0</v>
      </c>
      <c r="Q41" s="274"/>
      <c r="R41" s="366">
        <v>1395.9</v>
      </c>
      <c r="S41" s="274"/>
      <c r="T41" s="366">
        <v>810.29</v>
      </c>
      <c r="U41" s="274"/>
      <c r="V41" s="366">
        <v>315</v>
      </c>
      <c r="W41" s="274"/>
      <c r="X41" s="366">
        <v>0</v>
      </c>
      <c r="Y41" s="274"/>
      <c r="Z41" s="366">
        <v>1583.97</v>
      </c>
      <c r="AA41" s="274"/>
      <c r="AB41" s="366">
        <v>656.88</v>
      </c>
      <c r="AC41" s="274"/>
      <c r="AD41" s="366">
        <v>2399.23</v>
      </c>
      <c r="AE41" s="274"/>
      <c r="AF41" s="366">
        <f t="shared" si="2"/>
        <v>8496.77</v>
      </c>
    </row>
    <row r="42" spans="1:32" x14ac:dyDescent="0.25">
      <c r="A42" s="369"/>
      <c r="B42" s="369"/>
      <c r="C42" s="369"/>
      <c r="D42" s="369"/>
      <c r="E42" s="369" t="s">
        <v>146</v>
      </c>
      <c r="F42" s="369"/>
      <c r="G42" s="369"/>
      <c r="H42" s="366">
        <v>497.35</v>
      </c>
      <c r="I42" s="274"/>
      <c r="J42" s="366">
        <v>993.57</v>
      </c>
      <c r="K42" s="274"/>
      <c r="L42" s="366">
        <v>163.58000000000001</v>
      </c>
      <c r="M42" s="274"/>
      <c r="N42" s="366">
        <v>453.58</v>
      </c>
      <c r="O42" s="274"/>
      <c r="P42" s="366">
        <v>324.69</v>
      </c>
      <c r="Q42" s="274"/>
      <c r="R42" s="366">
        <v>70.28</v>
      </c>
      <c r="S42" s="274"/>
      <c r="T42" s="366">
        <v>0</v>
      </c>
      <c r="U42" s="274"/>
      <c r="V42" s="366">
        <v>0</v>
      </c>
      <c r="W42" s="274"/>
      <c r="X42" s="366">
        <v>0</v>
      </c>
      <c r="Y42" s="274"/>
      <c r="Z42" s="366">
        <v>0</v>
      </c>
      <c r="AA42" s="274"/>
      <c r="AB42" s="366">
        <v>0</v>
      </c>
      <c r="AC42" s="274"/>
      <c r="AD42" s="366">
        <v>0</v>
      </c>
      <c r="AE42" s="274"/>
      <c r="AF42" s="366">
        <f t="shared" si="2"/>
        <v>2503.0500000000002</v>
      </c>
    </row>
    <row r="43" spans="1:32" x14ac:dyDescent="0.25">
      <c r="A43" s="369"/>
      <c r="B43" s="369"/>
      <c r="C43" s="369"/>
      <c r="D43" s="369"/>
      <c r="E43" s="369" t="s">
        <v>147</v>
      </c>
      <c r="F43" s="369"/>
      <c r="G43" s="369"/>
      <c r="H43" s="366">
        <v>333.65</v>
      </c>
      <c r="I43" s="274"/>
      <c r="J43" s="366">
        <v>334.93</v>
      </c>
      <c r="K43" s="274"/>
      <c r="L43" s="366">
        <v>415.56</v>
      </c>
      <c r="M43" s="274"/>
      <c r="N43" s="366">
        <v>676.65</v>
      </c>
      <c r="O43" s="274"/>
      <c r="P43" s="366">
        <v>100.14</v>
      </c>
      <c r="Q43" s="274"/>
      <c r="R43" s="366">
        <v>664</v>
      </c>
      <c r="S43" s="274"/>
      <c r="T43" s="366">
        <v>292.63</v>
      </c>
      <c r="U43" s="274"/>
      <c r="V43" s="366">
        <v>278.8</v>
      </c>
      <c r="W43" s="274"/>
      <c r="X43" s="366">
        <v>278.43</v>
      </c>
      <c r="Y43" s="274"/>
      <c r="Z43" s="366">
        <v>374.21</v>
      </c>
      <c r="AA43" s="274"/>
      <c r="AB43" s="366">
        <v>387.63</v>
      </c>
      <c r="AC43" s="274"/>
      <c r="AD43" s="366">
        <v>411.29</v>
      </c>
      <c r="AE43" s="274"/>
      <c r="AF43" s="366">
        <f t="shared" si="2"/>
        <v>4547.92</v>
      </c>
    </row>
    <row r="44" spans="1:32" x14ac:dyDescent="0.25">
      <c r="A44" s="369"/>
      <c r="B44" s="369"/>
      <c r="C44" s="369"/>
      <c r="D44" s="369"/>
      <c r="E44" s="369" t="s">
        <v>148</v>
      </c>
      <c r="F44" s="369"/>
      <c r="G44" s="369"/>
      <c r="H44" s="366">
        <v>125.75</v>
      </c>
      <c r="I44" s="274"/>
      <c r="J44" s="366">
        <v>293.24</v>
      </c>
      <c r="K44" s="274"/>
      <c r="L44" s="366">
        <v>308.89</v>
      </c>
      <c r="M44" s="274"/>
      <c r="N44" s="366">
        <v>212.18</v>
      </c>
      <c r="O44" s="274"/>
      <c r="P44" s="366">
        <v>195.32</v>
      </c>
      <c r="Q44" s="274"/>
      <c r="R44" s="366">
        <v>96.1</v>
      </c>
      <c r="S44" s="274"/>
      <c r="T44" s="366">
        <v>374.4</v>
      </c>
      <c r="U44" s="274"/>
      <c r="V44" s="366">
        <v>17.989999999999998</v>
      </c>
      <c r="W44" s="274"/>
      <c r="X44" s="366">
        <v>47.22</v>
      </c>
      <c r="Y44" s="274"/>
      <c r="Z44" s="366">
        <v>133.03</v>
      </c>
      <c r="AA44" s="274"/>
      <c r="AB44" s="366">
        <v>68.66</v>
      </c>
      <c r="AC44" s="274"/>
      <c r="AD44" s="366">
        <v>62.28</v>
      </c>
      <c r="AE44" s="274"/>
      <c r="AF44" s="366">
        <f t="shared" si="2"/>
        <v>1935.06</v>
      </c>
    </row>
    <row r="45" spans="1:32" x14ac:dyDescent="0.25">
      <c r="A45" s="369"/>
      <c r="B45" s="369"/>
      <c r="C45" s="369"/>
      <c r="D45" s="369"/>
      <c r="E45" s="369" t="s">
        <v>149</v>
      </c>
      <c r="F45" s="369"/>
      <c r="G45" s="369"/>
      <c r="H45" s="366">
        <v>1201.08</v>
      </c>
      <c r="I45" s="274"/>
      <c r="J45" s="366">
        <v>1201.08</v>
      </c>
      <c r="K45" s="274"/>
      <c r="L45" s="366">
        <v>1201.08</v>
      </c>
      <c r="M45" s="274"/>
      <c r="N45" s="366">
        <v>1330.18</v>
      </c>
      <c r="O45" s="274"/>
      <c r="P45" s="366">
        <v>1418.86</v>
      </c>
      <c r="Q45" s="274"/>
      <c r="R45" s="366">
        <v>1418.86</v>
      </c>
      <c r="S45" s="274"/>
      <c r="T45" s="366">
        <v>1093.6600000000001</v>
      </c>
      <c r="U45" s="274"/>
      <c r="V45" s="366">
        <v>1056.83</v>
      </c>
      <c r="W45" s="274"/>
      <c r="X45" s="366">
        <v>726.58</v>
      </c>
      <c r="Y45" s="274"/>
      <c r="Z45" s="366">
        <v>1393.91</v>
      </c>
      <c r="AA45" s="274"/>
      <c r="AB45" s="366">
        <v>1219.67</v>
      </c>
      <c r="AC45" s="274"/>
      <c r="AD45" s="366">
        <v>1306.79</v>
      </c>
      <c r="AE45" s="274"/>
      <c r="AF45" s="366">
        <f t="shared" si="2"/>
        <v>14568.58</v>
      </c>
    </row>
    <row r="46" spans="1:32" x14ac:dyDescent="0.25">
      <c r="A46" s="369"/>
      <c r="B46" s="369"/>
      <c r="C46" s="369"/>
      <c r="D46" s="369"/>
      <c r="E46" s="369" t="s">
        <v>150</v>
      </c>
      <c r="F46" s="369"/>
      <c r="G46" s="369"/>
      <c r="H46" s="366">
        <v>296.25</v>
      </c>
      <c r="I46" s="274"/>
      <c r="J46" s="366">
        <v>296.25</v>
      </c>
      <c r="K46" s="274"/>
      <c r="L46" s="366">
        <v>236.25</v>
      </c>
      <c r="M46" s="274"/>
      <c r="N46" s="366">
        <v>265.5</v>
      </c>
      <c r="O46" s="274"/>
      <c r="P46" s="366">
        <v>193.22</v>
      </c>
      <c r="Q46" s="274"/>
      <c r="R46" s="366">
        <v>337.78</v>
      </c>
      <c r="S46" s="274"/>
      <c r="T46" s="366">
        <v>207.43</v>
      </c>
      <c r="U46" s="274"/>
      <c r="V46" s="366">
        <v>194.2</v>
      </c>
      <c r="W46" s="274"/>
      <c r="X46" s="366">
        <v>194.2</v>
      </c>
      <c r="Y46" s="274"/>
      <c r="Z46" s="366">
        <v>261.45</v>
      </c>
      <c r="AA46" s="274"/>
      <c r="AB46" s="366">
        <v>261.45</v>
      </c>
      <c r="AC46" s="274"/>
      <c r="AD46" s="366">
        <v>261.45</v>
      </c>
      <c r="AE46" s="274"/>
      <c r="AF46" s="366">
        <f t="shared" si="2"/>
        <v>3005.43</v>
      </c>
    </row>
    <row r="47" spans="1:32" x14ac:dyDescent="0.25">
      <c r="A47" s="369"/>
      <c r="B47" s="369"/>
      <c r="C47" s="369"/>
      <c r="D47" s="369"/>
      <c r="E47" s="369" t="s">
        <v>151</v>
      </c>
      <c r="F47" s="369"/>
      <c r="G47" s="369"/>
      <c r="H47" s="366">
        <v>109.02</v>
      </c>
      <c r="I47" s="274"/>
      <c r="J47" s="366">
        <v>13.6</v>
      </c>
      <c r="K47" s="274"/>
      <c r="L47" s="366">
        <v>3736.87</v>
      </c>
      <c r="M47" s="274"/>
      <c r="N47" s="366">
        <v>1150.77</v>
      </c>
      <c r="O47" s="274"/>
      <c r="P47" s="366">
        <v>1880.13</v>
      </c>
      <c r="Q47" s="274"/>
      <c r="R47" s="366">
        <v>0</v>
      </c>
      <c r="S47" s="274"/>
      <c r="T47" s="366">
        <v>3915.83</v>
      </c>
      <c r="U47" s="274"/>
      <c r="V47" s="366">
        <v>33.380000000000003</v>
      </c>
      <c r="W47" s="274"/>
      <c r="X47" s="366">
        <v>33.369999999999997</v>
      </c>
      <c r="Y47" s="274"/>
      <c r="Z47" s="366">
        <v>313.31</v>
      </c>
      <c r="AA47" s="274"/>
      <c r="AB47" s="366">
        <v>1002.48</v>
      </c>
      <c r="AC47" s="274"/>
      <c r="AD47" s="366">
        <v>1125.55</v>
      </c>
      <c r="AE47" s="274"/>
      <c r="AF47" s="366">
        <f t="shared" si="2"/>
        <v>13314.31</v>
      </c>
    </row>
    <row r="48" spans="1:32" x14ac:dyDescent="0.25">
      <c r="A48" s="369"/>
      <c r="B48" s="369"/>
      <c r="C48" s="369"/>
      <c r="D48" s="369"/>
      <c r="E48" s="369" t="s">
        <v>152</v>
      </c>
      <c r="F48" s="369"/>
      <c r="G48" s="369"/>
      <c r="H48" s="366">
        <v>2741.53</v>
      </c>
      <c r="I48" s="274"/>
      <c r="J48" s="366">
        <v>1909.76</v>
      </c>
      <c r="K48" s="274"/>
      <c r="L48" s="366">
        <v>1090.57</v>
      </c>
      <c r="M48" s="274"/>
      <c r="N48" s="366">
        <v>2651.71</v>
      </c>
      <c r="O48" s="274"/>
      <c r="P48" s="366">
        <v>2484.79</v>
      </c>
      <c r="Q48" s="274"/>
      <c r="R48" s="366">
        <v>-1266.8900000000001</v>
      </c>
      <c r="S48" s="274"/>
      <c r="T48" s="366">
        <v>506.84</v>
      </c>
      <c r="U48" s="274"/>
      <c r="V48" s="366">
        <v>0</v>
      </c>
      <c r="W48" s="274"/>
      <c r="X48" s="366">
        <v>100</v>
      </c>
      <c r="Y48" s="274"/>
      <c r="Z48" s="366">
        <v>0</v>
      </c>
      <c r="AA48" s="274"/>
      <c r="AB48" s="366">
        <v>0</v>
      </c>
      <c r="AC48" s="274"/>
      <c r="AD48" s="366">
        <v>0</v>
      </c>
      <c r="AE48" s="274"/>
      <c r="AF48" s="366">
        <f t="shared" si="2"/>
        <v>10218.31</v>
      </c>
    </row>
    <row r="49" spans="1:32" x14ac:dyDescent="0.25">
      <c r="A49" s="369"/>
      <c r="B49" s="369"/>
      <c r="C49" s="369"/>
      <c r="D49" s="369"/>
      <c r="E49" s="369" t="s">
        <v>153</v>
      </c>
      <c r="F49" s="369"/>
      <c r="G49" s="369"/>
      <c r="H49" s="366">
        <v>0</v>
      </c>
      <c r="I49" s="274"/>
      <c r="J49" s="366">
        <v>201.66</v>
      </c>
      <c r="K49" s="274"/>
      <c r="L49" s="366">
        <v>0</v>
      </c>
      <c r="M49" s="274"/>
      <c r="N49" s="366">
        <v>498.3</v>
      </c>
      <c r="O49" s="274"/>
      <c r="P49" s="366">
        <v>0</v>
      </c>
      <c r="Q49" s="274"/>
      <c r="R49" s="366">
        <v>0</v>
      </c>
      <c r="S49" s="274"/>
      <c r="T49" s="366">
        <v>0</v>
      </c>
      <c r="U49" s="274"/>
      <c r="V49" s="366">
        <v>0</v>
      </c>
      <c r="W49" s="274"/>
      <c r="X49" s="366">
        <v>0</v>
      </c>
      <c r="Y49" s="274"/>
      <c r="Z49" s="366">
        <v>0</v>
      </c>
      <c r="AA49" s="274"/>
      <c r="AB49" s="366">
        <v>260</v>
      </c>
      <c r="AC49" s="274"/>
      <c r="AD49" s="366">
        <v>0</v>
      </c>
      <c r="AE49" s="274"/>
      <c r="AF49" s="366">
        <f t="shared" si="2"/>
        <v>959.96</v>
      </c>
    </row>
    <row r="50" spans="1:32" x14ac:dyDescent="0.25">
      <c r="A50" s="369"/>
      <c r="B50" s="369"/>
      <c r="C50" s="369"/>
      <c r="D50" s="369"/>
      <c r="E50" s="369" t="s">
        <v>154</v>
      </c>
      <c r="F50" s="369"/>
      <c r="G50" s="369"/>
      <c r="H50" s="366">
        <v>246.9</v>
      </c>
      <c r="I50" s="274"/>
      <c r="J50" s="366">
        <v>272.89999999999998</v>
      </c>
      <c r="K50" s="274"/>
      <c r="L50" s="366">
        <v>272.89999999999998</v>
      </c>
      <c r="M50" s="274"/>
      <c r="N50" s="366">
        <v>144.04</v>
      </c>
      <c r="O50" s="274"/>
      <c r="P50" s="366">
        <v>609.26</v>
      </c>
      <c r="Q50" s="274"/>
      <c r="R50" s="366">
        <v>7448.23</v>
      </c>
      <c r="S50" s="274"/>
      <c r="T50" s="366">
        <v>333.23</v>
      </c>
      <c r="U50" s="274"/>
      <c r="V50" s="366">
        <v>333.23</v>
      </c>
      <c r="W50" s="274"/>
      <c r="X50" s="366">
        <v>-39.06</v>
      </c>
      <c r="Y50" s="274"/>
      <c r="Z50" s="366">
        <v>314.93</v>
      </c>
      <c r="AA50" s="274"/>
      <c r="AB50" s="366">
        <v>314.93</v>
      </c>
      <c r="AC50" s="274"/>
      <c r="AD50" s="366">
        <v>314.89</v>
      </c>
      <c r="AE50" s="274"/>
      <c r="AF50" s="366">
        <f t="shared" si="2"/>
        <v>10566.38</v>
      </c>
    </row>
    <row r="51" spans="1:32" x14ac:dyDescent="0.25">
      <c r="A51" s="369"/>
      <c r="B51" s="369"/>
      <c r="C51" s="369"/>
      <c r="D51" s="369"/>
      <c r="E51" s="369" t="s">
        <v>155</v>
      </c>
      <c r="F51" s="369"/>
      <c r="G51" s="369"/>
      <c r="H51" s="366">
        <v>0</v>
      </c>
      <c r="I51" s="274"/>
      <c r="J51" s="366">
        <v>0</v>
      </c>
      <c r="K51" s="274"/>
      <c r="L51" s="366">
        <v>0</v>
      </c>
      <c r="M51" s="274"/>
      <c r="N51" s="366">
        <v>0</v>
      </c>
      <c r="O51" s="274"/>
      <c r="P51" s="366">
        <v>0</v>
      </c>
      <c r="Q51" s="274"/>
      <c r="R51" s="366">
        <v>0</v>
      </c>
      <c r="S51" s="274"/>
      <c r="T51" s="366">
        <v>0</v>
      </c>
      <c r="U51" s="274"/>
      <c r="V51" s="366">
        <v>0</v>
      </c>
      <c r="W51" s="274"/>
      <c r="X51" s="366">
        <v>0</v>
      </c>
      <c r="Y51" s="274"/>
      <c r="Z51" s="366">
        <v>4752</v>
      </c>
      <c r="AA51" s="274"/>
      <c r="AB51" s="366">
        <v>0</v>
      </c>
      <c r="AC51" s="274"/>
      <c r="AD51" s="366">
        <v>0</v>
      </c>
      <c r="AE51" s="274"/>
      <c r="AF51" s="366">
        <f t="shared" si="2"/>
        <v>4752</v>
      </c>
    </row>
    <row r="52" spans="1:32" x14ac:dyDescent="0.25">
      <c r="A52" s="369"/>
      <c r="B52" s="369"/>
      <c r="C52" s="369"/>
      <c r="D52" s="369"/>
      <c r="E52" s="369" t="s">
        <v>156</v>
      </c>
      <c r="F52" s="369"/>
      <c r="G52" s="369"/>
      <c r="H52" s="366">
        <v>2831.99</v>
      </c>
      <c r="I52" s="274"/>
      <c r="J52" s="366">
        <v>1549.55</v>
      </c>
      <c r="K52" s="274"/>
      <c r="L52" s="366">
        <v>2802.85</v>
      </c>
      <c r="M52" s="274"/>
      <c r="N52" s="366">
        <v>1096.3399999999999</v>
      </c>
      <c r="O52" s="274"/>
      <c r="P52" s="366">
        <v>3000.32</v>
      </c>
      <c r="Q52" s="274"/>
      <c r="R52" s="366">
        <v>434.43</v>
      </c>
      <c r="S52" s="274"/>
      <c r="T52" s="366">
        <v>1408.37</v>
      </c>
      <c r="U52" s="274"/>
      <c r="V52" s="366">
        <v>1225.05</v>
      </c>
      <c r="W52" s="274"/>
      <c r="X52" s="366">
        <v>1624.45</v>
      </c>
      <c r="Y52" s="274"/>
      <c r="Z52" s="366">
        <v>1798.38</v>
      </c>
      <c r="AA52" s="274"/>
      <c r="AB52" s="366">
        <v>1396.58</v>
      </c>
      <c r="AC52" s="274"/>
      <c r="AD52" s="366">
        <v>1373.46</v>
      </c>
      <c r="AE52" s="274"/>
      <c r="AF52" s="366">
        <f t="shared" si="2"/>
        <v>20541.77</v>
      </c>
    </row>
    <row r="53" spans="1:32" x14ac:dyDescent="0.25">
      <c r="A53" s="369"/>
      <c r="B53" s="369"/>
      <c r="C53" s="369"/>
      <c r="D53" s="369"/>
      <c r="E53" s="369" t="s">
        <v>157</v>
      </c>
      <c r="F53" s="369"/>
      <c r="G53" s="369"/>
      <c r="H53" s="366">
        <v>11243.67</v>
      </c>
      <c r="I53" s="274"/>
      <c r="J53" s="366">
        <v>9492.1200000000008</v>
      </c>
      <c r="K53" s="274"/>
      <c r="L53" s="366">
        <v>3051.31</v>
      </c>
      <c r="M53" s="274"/>
      <c r="N53" s="366">
        <v>2946.29</v>
      </c>
      <c r="O53" s="274"/>
      <c r="P53" s="366">
        <v>1513.25</v>
      </c>
      <c r="Q53" s="274"/>
      <c r="R53" s="366">
        <v>-2031.71</v>
      </c>
      <c r="S53" s="274"/>
      <c r="T53" s="366">
        <v>1288.25</v>
      </c>
      <c r="U53" s="274"/>
      <c r="V53" s="366">
        <v>1498.25</v>
      </c>
      <c r="W53" s="274"/>
      <c r="X53" s="366">
        <v>1525.18</v>
      </c>
      <c r="Y53" s="274"/>
      <c r="Z53" s="366">
        <v>112.27</v>
      </c>
      <c r="AA53" s="274"/>
      <c r="AB53" s="366">
        <v>1287.5</v>
      </c>
      <c r="AC53" s="274"/>
      <c r="AD53" s="366">
        <v>1317.56</v>
      </c>
      <c r="AE53" s="274"/>
      <c r="AF53" s="366">
        <f t="shared" si="2"/>
        <v>33243.94</v>
      </c>
    </row>
    <row r="54" spans="1:32" x14ac:dyDescent="0.25">
      <c r="A54" s="369"/>
      <c r="B54" s="369"/>
      <c r="C54" s="369"/>
      <c r="D54" s="369"/>
      <c r="E54" s="369" t="s">
        <v>158</v>
      </c>
      <c r="F54" s="369"/>
      <c r="G54" s="369"/>
      <c r="H54" s="366">
        <v>0</v>
      </c>
      <c r="I54" s="274"/>
      <c r="J54" s="366">
        <v>0</v>
      </c>
      <c r="K54" s="274"/>
      <c r="L54" s="366">
        <v>0</v>
      </c>
      <c r="M54" s="274"/>
      <c r="N54" s="366">
        <v>0</v>
      </c>
      <c r="O54" s="274"/>
      <c r="P54" s="366">
        <v>0</v>
      </c>
      <c r="Q54" s="274"/>
      <c r="R54" s="366">
        <v>5316.63</v>
      </c>
      <c r="S54" s="274"/>
      <c r="T54" s="366">
        <v>4059.4</v>
      </c>
      <c r="U54" s="274"/>
      <c r="V54" s="366">
        <v>1292.3900000000001</v>
      </c>
      <c r="W54" s="274"/>
      <c r="X54" s="366">
        <v>2631.96</v>
      </c>
      <c r="Y54" s="274"/>
      <c r="Z54" s="366">
        <v>1332.1</v>
      </c>
      <c r="AA54" s="274"/>
      <c r="AB54" s="366">
        <v>0</v>
      </c>
      <c r="AC54" s="274"/>
      <c r="AD54" s="366">
        <v>1340.13</v>
      </c>
      <c r="AE54" s="274"/>
      <c r="AF54" s="366">
        <f t="shared" si="2"/>
        <v>15972.61</v>
      </c>
    </row>
    <row r="55" spans="1:32" ht="15.75" thickBot="1" x14ac:dyDescent="0.3">
      <c r="A55" s="369"/>
      <c r="B55" s="369"/>
      <c r="C55" s="369"/>
      <c r="D55" s="369"/>
      <c r="E55" s="369" t="s">
        <v>435</v>
      </c>
      <c r="F55" s="369"/>
      <c r="G55" s="369"/>
      <c r="H55" s="365">
        <v>0</v>
      </c>
      <c r="I55" s="274"/>
      <c r="J55" s="365">
        <v>0</v>
      </c>
      <c r="K55" s="274"/>
      <c r="L55" s="365">
        <v>0</v>
      </c>
      <c r="M55" s="274"/>
      <c r="N55" s="365">
        <v>0</v>
      </c>
      <c r="O55" s="274"/>
      <c r="P55" s="365">
        <v>0</v>
      </c>
      <c r="Q55" s="274"/>
      <c r="R55" s="365">
        <v>0</v>
      </c>
      <c r="S55" s="274"/>
      <c r="T55" s="365">
        <v>0</v>
      </c>
      <c r="U55" s="274"/>
      <c r="V55" s="365">
        <v>330.29</v>
      </c>
      <c r="W55" s="274"/>
      <c r="X55" s="365">
        <v>3523.53</v>
      </c>
      <c r="Y55" s="274"/>
      <c r="Z55" s="365">
        <v>324.38</v>
      </c>
      <c r="AA55" s="274"/>
      <c r="AB55" s="365">
        <v>400</v>
      </c>
      <c r="AC55" s="274"/>
      <c r="AD55" s="365">
        <v>0</v>
      </c>
      <c r="AE55" s="274"/>
      <c r="AF55" s="365">
        <f t="shared" si="2"/>
        <v>4578.2</v>
      </c>
    </row>
    <row r="56" spans="1:32" ht="15.75" thickBot="1" x14ac:dyDescent="0.3">
      <c r="A56" s="369"/>
      <c r="B56" s="369"/>
      <c r="C56" s="369"/>
      <c r="D56" s="369" t="s">
        <v>56</v>
      </c>
      <c r="E56" s="369"/>
      <c r="F56" s="369"/>
      <c r="G56" s="369"/>
      <c r="H56" s="277">
        <f>ROUND(SUM(H37:H55),5)</f>
        <v>43286.51</v>
      </c>
      <c r="I56" s="274"/>
      <c r="J56" s="277">
        <f>ROUND(SUM(J37:J55),5)</f>
        <v>41275.71</v>
      </c>
      <c r="K56" s="274"/>
      <c r="L56" s="277">
        <f>ROUND(SUM(L37:L55),5)</f>
        <v>41487.56</v>
      </c>
      <c r="M56" s="274"/>
      <c r="N56" s="277">
        <f>ROUND(SUM(N37:N55),5)</f>
        <v>45694.43</v>
      </c>
      <c r="O56" s="274"/>
      <c r="P56" s="277">
        <f>ROUND(SUM(P37:P55),5)</f>
        <v>42468.82</v>
      </c>
      <c r="Q56" s="274"/>
      <c r="R56" s="277">
        <f>ROUND(SUM(R37:R55),5)</f>
        <v>48120.95</v>
      </c>
      <c r="S56" s="274"/>
      <c r="T56" s="277">
        <f>ROUND(SUM(T37:T55),5)</f>
        <v>37973.9</v>
      </c>
      <c r="U56" s="274"/>
      <c r="V56" s="277">
        <f>ROUND(SUM(V37:V55),5)</f>
        <v>24787.05</v>
      </c>
      <c r="W56" s="274"/>
      <c r="X56" s="277">
        <f>ROUND(SUM(X37:X55),5)</f>
        <v>29971.47</v>
      </c>
      <c r="Y56" s="274"/>
      <c r="Z56" s="277">
        <f>ROUND(SUM(Z37:Z55),5)</f>
        <v>40347.26</v>
      </c>
      <c r="AA56" s="274"/>
      <c r="AB56" s="277">
        <f>ROUND(SUM(AB37:AB55),5)</f>
        <v>30081.31</v>
      </c>
      <c r="AC56" s="274"/>
      <c r="AD56" s="277">
        <f>ROUND(SUM(AD37:AD55),5)</f>
        <v>36572.230000000003</v>
      </c>
      <c r="AE56" s="274"/>
      <c r="AF56" s="277">
        <f t="shared" si="2"/>
        <v>462067.20000000001</v>
      </c>
    </row>
    <row r="57" spans="1:32" ht="15.75" thickBot="1" x14ac:dyDescent="0.3">
      <c r="A57" s="369"/>
      <c r="B57" s="369" t="s">
        <v>159</v>
      </c>
      <c r="C57" s="369"/>
      <c r="D57" s="369"/>
      <c r="E57" s="369"/>
      <c r="F57" s="369"/>
      <c r="G57" s="369"/>
      <c r="H57" s="277">
        <f>ROUND(H2+H36-H56,5)</f>
        <v>30697.08</v>
      </c>
      <c r="I57" s="274"/>
      <c r="J57" s="277">
        <f>ROUND(J2+J36-J56,5)</f>
        <v>-4759.0600000000004</v>
      </c>
      <c r="K57" s="274"/>
      <c r="L57" s="277">
        <f>ROUND(L2+L36-L56,5)</f>
        <v>-24700.080000000002</v>
      </c>
      <c r="M57" s="274"/>
      <c r="N57" s="277">
        <f>ROUND(N2+N36-N56,5)</f>
        <v>8848.82</v>
      </c>
      <c r="O57" s="274"/>
      <c r="P57" s="277">
        <f>ROUND(P2+P36-P56,5)</f>
        <v>3635.33</v>
      </c>
      <c r="Q57" s="274"/>
      <c r="R57" s="277">
        <f>ROUND(R2+R36-R56,5)</f>
        <v>-41295.21</v>
      </c>
      <c r="S57" s="274"/>
      <c r="T57" s="277">
        <f>ROUND(T2+T36-T56,5)</f>
        <v>-13235.92</v>
      </c>
      <c r="U57" s="274"/>
      <c r="V57" s="277">
        <f>ROUND(V2+V36-V56,5)</f>
        <v>-9620.0400000000009</v>
      </c>
      <c r="W57" s="274"/>
      <c r="X57" s="277">
        <f>ROUND(X2+X36-X56,5)</f>
        <v>-3137.95</v>
      </c>
      <c r="Y57" s="274"/>
      <c r="Z57" s="277">
        <f>ROUND(Z2+Z36-Z56,5)</f>
        <v>37297.93</v>
      </c>
      <c r="AA57" s="274"/>
      <c r="AB57" s="277">
        <f>ROUND(AB2+AB36-AB56,5)</f>
        <v>4450.68</v>
      </c>
      <c r="AC57" s="274"/>
      <c r="AD57" s="277">
        <f>ROUND(AD2+AD36-AD56,5)</f>
        <v>50756.28</v>
      </c>
      <c r="AE57" s="274"/>
      <c r="AF57" s="277">
        <f t="shared" si="2"/>
        <v>38937.86</v>
      </c>
    </row>
    <row r="58" spans="1:32" s="279" customFormat="1" ht="12" thickBot="1" x14ac:dyDescent="0.25">
      <c r="A58" s="369" t="s">
        <v>160</v>
      </c>
      <c r="B58" s="369"/>
      <c r="C58" s="369"/>
      <c r="D58" s="369"/>
      <c r="E58" s="369"/>
      <c r="F58" s="369"/>
      <c r="G58" s="369"/>
      <c r="H58" s="278">
        <f>H57</f>
        <v>30697.08</v>
      </c>
      <c r="I58" s="369"/>
      <c r="J58" s="278">
        <f>J57</f>
        <v>-4759.0600000000004</v>
      </c>
      <c r="K58" s="369"/>
      <c r="L58" s="278">
        <f>L57</f>
        <v>-24700.080000000002</v>
      </c>
      <c r="M58" s="369"/>
      <c r="N58" s="278">
        <f>N57</f>
        <v>8848.82</v>
      </c>
      <c r="O58" s="369"/>
      <c r="P58" s="278">
        <f>P57</f>
        <v>3635.33</v>
      </c>
      <c r="Q58" s="369"/>
      <c r="R58" s="278">
        <f>R57</f>
        <v>-41295.21</v>
      </c>
      <c r="S58" s="369"/>
      <c r="T58" s="278">
        <f>T57</f>
        <v>-13235.92</v>
      </c>
      <c r="U58" s="369"/>
      <c r="V58" s="278">
        <f>V57</f>
        <v>-9620.0400000000009</v>
      </c>
      <c r="W58" s="369"/>
      <c r="X58" s="278">
        <f>X57</f>
        <v>-3137.95</v>
      </c>
      <c r="Y58" s="369"/>
      <c r="Z58" s="278">
        <f>Z57</f>
        <v>37297.93</v>
      </c>
      <c r="AA58" s="369"/>
      <c r="AB58" s="278">
        <f>AB57</f>
        <v>4450.68</v>
      </c>
      <c r="AC58" s="369"/>
      <c r="AD58" s="278">
        <f>AD57</f>
        <v>50756.28</v>
      </c>
      <c r="AE58" s="369"/>
      <c r="AF58" s="278">
        <f t="shared" si="2"/>
        <v>38937.86</v>
      </c>
    </row>
    <row r="59" spans="1:32" ht="15.75" thickTop="1" x14ac:dyDescent="0.25"/>
  </sheetData>
  <pageMargins left="0.2" right="0.2" top="0.75" bottom="0.25" header="0.1" footer="0.3"/>
  <pageSetup scale="84" orientation="portrait" r:id="rId1"/>
  <headerFooter>
    <oddHeader>&amp;L&amp;"Arial,Bold"&amp;8 2:43 PM
 03/02/19
 Accrual Basis&amp;C&amp;"Arial,Bold"&amp;12 League of Women Voters of California
&amp;14 Statement of Activities
&amp;10 February 2018 through January 2019</oddHeader>
    <oddFooter>&amp;R&amp;"Arial,Bold"&amp;8 Page &amp;P of &amp;N</oddFooter>
  </headerFooter>
  <colBreaks count="1" manualBreakCount="1">
    <brk id="1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85"/>
  <sheetViews>
    <sheetView workbookViewId="0">
      <pane xSplit="7" ySplit="1" topLeftCell="H47" activePane="bottomRight" state="frozenSplit"/>
      <selection pane="topRight" activeCell="H1" sqref="H1"/>
      <selection pane="bottomLeft" activeCell="A2" sqref="A2"/>
      <selection pane="bottomRight" activeCell="P68" sqref="P68"/>
    </sheetView>
  </sheetViews>
  <sheetFormatPr defaultRowHeight="15" x14ac:dyDescent="0.25"/>
  <cols>
    <col min="1" max="6" width="3" style="361" customWidth="1"/>
    <col min="7" max="7" width="34" style="361" customWidth="1"/>
    <col min="8" max="8" width="8.7109375" style="362" bestFit="1" customWidth="1"/>
    <col min="9" max="9" width="2.28515625" style="362" customWidth="1"/>
    <col min="10" max="10" width="8.7109375" style="362" bestFit="1" customWidth="1"/>
    <col min="11" max="11" width="2.28515625" style="362" customWidth="1"/>
    <col min="12" max="12" width="8.7109375" style="362" bestFit="1" customWidth="1"/>
    <col min="13" max="13" width="2.28515625" style="362" customWidth="1"/>
    <col min="14" max="14" width="8.7109375" style="362" bestFit="1" customWidth="1"/>
    <col min="15" max="15" width="2.28515625" style="362" customWidth="1"/>
    <col min="16" max="16" width="8.7109375" style="362" bestFit="1" customWidth="1"/>
    <col min="17" max="17" width="2.28515625" style="362" customWidth="1"/>
    <col min="18" max="18" width="8.7109375" style="362" bestFit="1" customWidth="1"/>
    <col min="19" max="19" width="2.28515625" style="362" customWidth="1"/>
    <col min="20" max="20" width="8.7109375" style="362" bestFit="1" customWidth="1"/>
    <col min="21" max="21" width="2.28515625" style="362" customWidth="1"/>
    <col min="22" max="22" width="8.85546875" style="362" bestFit="1" customWidth="1"/>
    <col min="23" max="23" width="2.28515625" style="362" customWidth="1"/>
    <col min="24" max="24" width="8.7109375" style="362" bestFit="1" customWidth="1"/>
    <col min="25" max="25" width="2.28515625" style="362" customWidth="1"/>
    <col min="26" max="26" width="8.7109375" style="362" bestFit="1" customWidth="1"/>
    <col min="27" max="27" width="2.28515625" style="362" customWidth="1"/>
    <col min="28" max="28" width="8.85546875" style="362" bestFit="1" customWidth="1"/>
    <col min="29" max="29" width="2.28515625" style="362" customWidth="1"/>
    <col min="30" max="30" width="8.7109375" style="362" bestFit="1" customWidth="1"/>
    <col min="31" max="16384" width="9.140625" style="360"/>
  </cols>
  <sheetData>
    <row r="1" spans="1:30" s="364" customFormat="1" ht="15.75" thickBot="1" x14ac:dyDescent="0.3">
      <c r="A1" s="363"/>
      <c r="B1" s="363"/>
      <c r="C1" s="363"/>
      <c r="D1" s="363"/>
      <c r="E1" s="363"/>
      <c r="F1" s="363"/>
      <c r="G1" s="363"/>
      <c r="H1" s="301" t="s">
        <v>188</v>
      </c>
      <c r="I1" s="272"/>
      <c r="J1" s="301" t="s">
        <v>189</v>
      </c>
      <c r="K1" s="272"/>
      <c r="L1" s="301" t="s">
        <v>190</v>
      </c>
      <c r="M1" s="272"/>
      <c r="N1" s="301" t="s">
        <v>191</v>
      </c>
      <c r="O1" s="272"/>
      <c r="P1" s="301" t="s">
        <v>192</v>
      </c>
      <c r="Q1" s="272"/>
      <c r="R1" s="301" t="s">
        <v>193</v>
      </c>
      <c r="S1" s="272"/>
      <c r="T1" s="301" t="s">
        <v>427</v>
      </c>
      <c r="U1" s="272"/>
      <c r="V1" s="301" t="s">
        <v>437</v>
      </c>
      <c r="W1" s="272"/>
      <c r="X1" s="301" t="s">
        <v>438</v>
      </c>
      <c r="Y1" s="272"/>
      <c r="Z1" s="301" t="s">
        <v>447</v>
      </c>
      <c r="AA1" s="272"/>
      <c r="AB1" s="301" t="s">
        <v>458</v>
      </c>
      <c r="AC1" s="272"/>
      <c r="AD1" s="301" t="s">
        <v>474</v>
      </c>
    </row>
    <row r="2" spans="1:30" ht="15.75" thickTop="1" x14ac:dyDescent="0.25">
      <c r="A2" s="369" t="s">
        <v>194</v>
      </c>
      <c r="B2" s="369"/>
      <c r="C2" s="369"/>
      <c r="D2" s="369"/>
      <c r="E2" s="369"/>
      <c r="F2" s="369"/>
      <c r="G2" s="369"/>
      <c r="H2" s="366"/>
      <c r="I2" s="274"/>
      <c r="J2" s="366"/>
      <c r="K2" s="274"/>
      <c r="L2" s="366"/>
      <c r="M2" s="274"/>
      <c r="N2" s="366"/>
      <c r="O2" s="274"/>
      <c r="P2" s="366"/>
      <c r="Q2" s="274"/>
      <c r="R2" s="366"/>
      <c r="S2" s="274"/>
      <c r="T2" s="366"/>
      <c r="U2" s="274"/>
      <c r="V2" s="366"/>
      <c r="W2" s="274"/>
      <c r="X2" s="366"/>
      <c r="Y2" s="274"/>
      <c r="Z2" s="366"/>
      <c r="AA2" s="274"/>
      <c r="AB2" s="366"/>
      <c r="AC2" s="274"/>
      <c r="AD2" s="366"/>
    </row>
    <row r="3" spans="1:30" x14ac:dyDescent="0.25">
      <c r="A3" s="369"/>
      <c r="B3" s="369" t="s">
        <v>195</v>
      </c>
      <c r="C3" s="369"/>
      <c r="D3" s="369"/>
      <c r="E3" s="369"/>
      <c r="F3" s="369"/>
      <c r="G3" s="369"/>
      <c r="H3" s="366"/>
      <c r="I3" s="274"/>
      <c r="J3" s="366"/>
      <c r="K3" s="274"/>
      <c r="L3" s="366"/>
      <c r="M3" s="274"/>
      <c r="N3" s="366"/>
      <c r="O3" s="274"/>
      <c r="P3" s="366"/>
      <c r="Q3" s="274"/>
      <c r="R3" s="366"/>
      <c r="S3" s="274"/>
      <c r="T3" s="366"/>
      <c r="U3" s="274"/>
      <c r="V3" s="366"/>
      <c r="W3" s="274"/>
      <c r="X3" s="366"/>
      <c r="Y3" s="274"/>
      <c r="Z3" s="366"/>
      <c r="AA3" s="274"/>
      <c r="AB3" s="366"/>
      <c r="AC3" s="274"/>
      <c r="AD3" s="366"/>
    </row>
    <row r="4" spans="1:30" x14ac:dyDescent="0.25">
      <c r="A4" s="369"/>
      <c r="B4" s="369"/>
      <c r="C4" s="369" t="s">
        <v>196</v>
      </c>
      <c r="D4" s="369"/>
      <c r="E4" s="369"/>
      <c r="F4" s="369"/>
      <c r="G4" s="369"/>
      <c r="H4" s="366"/>
      <c r="I4" s="274"/>
      <c r="J4" s="366"/>
      <c r="K4" s="274"/>
      <c r="L4" s="366"/>
      <c r="M4" s="274"/>
      <c r="N4" s="366"/>
      <c r="O4" s="274"/>
      <c r="P4" s="366"/>
      <c r="Q4" s="274"/>
      <c r="R4" s="366"/>
      <c r="S4" s="274"/>
      <c r="T4" s="366"/>
      <c r="U4" s="274"/>
      <c r="V4" s="366"/>
      <c r="W4" s="274"/>
      <c r="X4" s="366"/>
      <c r="Y4" s="274"/>
      <c r="Z4" s="366"/>
      <c r="AA4" s="274"/>
      <c r="AB4" s="366"/>
      <c r="AC4" s="274"/>
      <c r="AD4" s="366"/>
    </row>
    <row r="5" spans="1:30" x14ac:dyDescent="0.25">
      <c r="A5" s="369"/>
      <c r="B5" s="369"/>
      <c r="C5" s="369"/>
      <c r="D5" s="369" t="s">
        <v>197</v>
      </c>
      <c r="E5" s="369"/>
      <c r="F5" s="369"/>
      <c r="G5" s="369"/>
      <c r="H5" s="366"/>
      <c r="I5" s="274"/>
      <c r="J5" s="366"/>
      <c r="K5" s="274"/>
      <c r="L5" s="366"/>
      <c r="M5" s="274"/>
      <c r="N5" s="366"/>
      <c r="O5" s="274"/>
      <c r="P5" s="366"/>
      <c r="Q5" s="274"/>
      <c r="R5" s="366"/>
      <c r="S5" s="274"/>
      <c r="T5" s="366"/>
      <c r="U5" s="274"/>
      <c r="V5" s="366"/>
      <c r="W5" s="274"/>
      <c r="X5" s="366"/>
      <c r="Y5" s="274"/>
      <c r="Z5" s="366"/>
      <c r="AA5" s="274"/>
      <c r="AB5" s="366"/>
      <c r="AC5" s="274"/>
      <c r="AD5" s="366"/>
    </row>
    <row r="6" spans="1:30" x14ac:dyDescent="0.25">
      <c r="A6" s="369"/>
      <c r="B6" s="369"/>
      <c r="C6" s="369"/>
      <c r="D6" s="369"/>
      <c r="E6" s="369" t="s">
        <v>198</v>
      </c>
      <c r="F6" s="369"/>
      <c r="G6" s="369"/>
      <c r="H6" s="366">
        <v>145941.35</v>
      </c>
      <c r="I6" s="274"/>
      <c r="J6" s="366">
        <v>120545.82</v>
      </c>
      <c r="K6" s="274"/>
      <c r="L6" s="366">
        <v>93343.02</v>
      </c>
      <c r="M6" s="274"/>
      <c r="N6" s="366">
        <v>83221.17</v>
      </c>
      <c r="O6" s="274"/>
      <c r="P6" s="366">
        <v>14507.25</v>
      </c>
      <c r="Q6" s="274"/>
      <c r="R6" s="366">
        <v>61680.59</v>
      </c>
      <c r="S6" s="274"/>
      <c r="T6" s="366">
        <v>53285.69</v>
      </c>
      <c r="U6" s="274"/>
      <c r="V6" s="366">
        <v>94453.759999999995</v>
      </c>
      <c r="W6" s="274"/>
      <c r="X6" s="366">
        <v>66975.66</v>
      </c>
      <c r="Y6" s="274"/>
      <c r="Z6" s="366">
        <v>66420.95</v>
      </c>
      <c r="AA6" s="274"/>
      <c r="AB6" s="366">
        <v>84800.960000000006</v>
      </c>
      <c r="AC6" s="274"/>
      <c r="AD6" s="366">
        <v>141879.71</v>
      </c>
    </row>
    <row r="7" spans="1:30" x14ac:dyDescent="0.25">
      <c r="A7" s="369"/>
      <c r="B7" s="369"/>
      <c r="C7" s="369"/>
      <c r="D7" s="369"/>
      <c r="E7" s="369" t="s">
        <v>199</v>
      </c>
      <c r="F7" s="369"/>
      <c r="G7" s="369"/>
      <c r="H7" s="366">
        <v>0.33</v>
      </c>
      <c r="I7" s="274"/>
      <c r="J7" s="366">
        <v>0.33</v>
      </c>
      <c r="K7" s="274"/>
      <c r="L7" s="366">
        <v>0.33</v>
      </c>
      <c r="M7" s="274"/>
      <c r="N7" s="366">
        <v>0.33</v>
      </c>
      <c r="O7" s="274"/>
      <c r="P7" s="366">
        <v>0.33</v>
      </c>
      <c r="Q7" s="274"/>
      <c r="R7" s="366">
        <v>0.33</v>
      </c>
      <c r="S7" s="274"/>
      <c r="T7" s="366">
        <v>0.33</v>
      </c>
      <c r="U7" s="274"/>
      <c r="V7" s="366">
        <v>0.33</v>
      </c>
      <c r="W7" s="274"/>
      <c r="X7" s="366">
        <v>0.33</v>
      </c>
      <c r="Y7" s="274"/>
      <c r="Z7" s="366">
        <v>0.33</v>
      </c>
      <c r="AA7" s="274"/>
      <c r="AB7" s="366">
        <v>0.33</v>
      </c>
      <c r="AC7" s="274"/>
      <c r="AD7" s="366">
        <v>0.33</v>
      </c>
    </row>
    <row r="8" spans="1:30" x14ac:dyDescent="0.25">
      <c r="A8" s="369"/>
      <c r="B8" s="369"/>
      <c r="C8" s="369"/>
      <c r="D8" s="369"/>
      <c r="E8" s="369" t="s">
        <v>200</v>
      </c>
      <c r="F8" s="369"/>
      <c r="G8" s="369"/>
      <c r="H8" s="366"/>
      <c r="I8" s="274"/>
      <c r="J8" s="366"/>
      <c r="K8" s="274"/>
      <c r="L8" s="366"/>
      <c r="M8" s="274"/>
      <c r="N8" s="366"/>
      <c r="O8" s="274"/>
      <c r="P8" s="366"/>
      <c r="Q8" s="274"/>
      <c r="R8" s="366"/>
      <c r="S8" s="274"/>
      <c r="T8" s="366"/>
      <c r="U8" s="274"/>
      <c r="V8" s="366"/>
      <c r="W8" s="274"/>
      <c r="X8" s="366"/>
      <c r="Y8" s="274"/>
      <c r="Z8" s="366"/>
      <c r="AA8" s="274"/>
      <c r="AB8" s="366"/>
      <c r="AC8" s="274"/>
      <c r="AD8" s="366"/>
    </row>
    <row r="9" spans="1:30" x14ac:dyDescent="0.25">
      <c r="A9" s="369"/>
      <c r="B9" s="369"/>
      <c r="C9" s="369"/>
      <c r="D9" s="369"/>
      <c r="E9" s="369"/>
      <c r="F9" s="369" t="s">
        <v>201</v>
      </c>
      <c r="G9" s="369"/>
      <c r="H9" s="366">
        <v>16115.18</v>
      </c>
      <c r="I9" s="274"/>
      <c r="J9" s="366">
        <v>16148.08</v>
      </c>
      <c r="K9" s="274"/>
      <c r="L9" s="366">
        <v>16184.46</v>
      </c>
      <c r="M9" s="274"/>
      <c r="N9" s="366">
        <v>16219.78</v>
      </c>
      <c r="O9" s="274"/>
      <c r="P9" s="366">
        <v>16251.75</v>
      </c>
      <c r="Q9" s="274"/>
      <c r="R9" s="366">
        <v>16288.36</v>
      </c>
      <c r="S9" s="274"/>
      <c r="T9" s="366">
        <v>16322.76</v>
      </c>
      <c r="U9" s="274"/>
      <c r="V9" s="366">
        <v>16356.08</v>
      </c>
      <c r="W9" s="274"/>
      <c r="X9" s="366">
        <v>16392.93</v>
      </c>
      <c r="Y9" s="274"/>
      <c r="Z9" s="366">
        <v>16420.3</v>
      </c>
      <c r="AA9" s="274"/>
      <c r="AB9" s="366">
        <v>16430.03</v>
      </c>
      <c r="AC9" s="274"/>
      <c r="AD9" s="366">
        <v>16439.45</v>
      </c>
    </row>
    <row r="10" spans="1:30" ht="15.75" thickBot="1" x14ac:dyDescent="0.3">
      <c r="A10" s="369"/>
      <c r="B10" s="369"/>
      <c r="C10" s="369"/>
      <c r="D10" s="369"/>
      <c r="E10" s="369"/>
      <c r="F10" s="369" t="s">
        <v>202</v>
      </c>
      <c r="G10" s="369"/>
      <c r="H10" s="365">
        <v>32498.75</v>
      </c>
      <c r="I10" s="274"/>
      <c r="J10" s="365">
        <v>32553.72</v>
      </c>
      <c r="K10" s="274"/>
      <c r="L10" s="365">
        <v>32614.49</v>
      </c>
      <c r="M10" s="274"/>
      <c r="N10" s="365">
        <v>32673.47</v>
      </c>
      <c r="O10" s="274"/>
      <c r="P10" s="365">
        <v>32673.47</v>
      </c>
      <c r="Q10" s="274"/>
      <c r="R10" s="365">
        <v>32778.76</v>
      </c>
      <c r="S10" s="274"/>
      <c r="T10" s="365">
        <v>32825.53</v>
      </c>
      <c r="U10" s="274"/>
      <c r="V10" s="365">
        <v>32870.81</v>
      </c>
      <c r="W10" s="274"/>
      <c r="X10" s="365">
        <v>32920.839999999997</v>
      </c>
      <c r="Y10" s="274"/>
      <c r="Z10" s="365">
        <v>32969.379999999997</v>
      </c>
      <c r="AA10" s="274"/>
      <c r="AB10" s="365">
        <v>32969.379999999997</v>
      </c>
      <c r="AC10" s="274"/>
      <c r="AD10" s="365">
        <v>33040.5</v>
      </c>
    </row>
    <row r="11" spans="1:30" ht="15.75" thickBot="1" x14ac:dyDescent="0.3">
      <c r="A11" s="369"/>
      <c r="B11" s="369"/>
      <c r="C11" s="369"/>
      <c r="D11" s="369"/>
      <c r="E11" s="369" t="s">
        <v>203</v>
      </c>
      <c r="F11" s="369"/>
      <c r="G11" s="369"/>
      <c r="H11" s="277">
        <f>ROUND(SUM(H8:H10),5)</f>
        <v>48613.93</v>
      </c>
      <c r="I11" s="274"/>
      <c r="J11" s="277">
        <f>ROUND(SUM(J8:J10),5)</f>
        <v>48701.8</v>
      </c>
      <c r="K11" s="274"/>
      <c r="L11" s="277">
        <f>ROUND(SUM(L8:L10),5)</f>
        <v>48798.95</v>
      </c>
      <c r="M11" s="274"/>
      <c r="N11" s="277">
        <f>ROUND(SUM(N8:N10),5)</f>
        <v>48893.25</v>
      </c>
      <c r="O11" s="274"/>
      <c r="P11" s="277">
        <f>ROUND(SUM(P8:P10),5)</f>
        <v>48925.22</v>
      </c>
      <c r="Q11" s="274"/>
      <c r="R11" s="277">
        <f>ROUND(SUM(R8:R10),5)</f>
        <v>49067.12</v>
      </c>
      <c r="S11" s="274"/>
      <c r="T11" s="277">
        <f>ROUND(SUM(T8:T10),5)</f>
        <v>49148.29</v>
      </c>
      <c r="U11" s="274"/>
      <c r="V11" s="277">
        <f>ROUND(SUM(V8:V10),5)</f>
        <v>49226.89</v>
      </c>
      <c r="W11" s="274"/>
      <c r="X11" s="277">
        <f>ROUND(SUM(X8:X10),5)</f>
        <v>49313.77</v>
      </c>
      <c r="Y11" s="274"/>
      <c r="Z11" s="277">
        <f>ROUND(SUM(Z8:Z10),5)</f>
        <v>49389.68</v>
      </c>
      <c r="AA11" s="274"/>
      <c r="AB11" s="277">
        <f>ROUND(SUM(AB8:AB10),5)</f>
        <v>49399.41</v>
      </c>
      <c r="AC11" s="274"/>
      <c r="AD11" s="277">
        <f>ROUND(SUM(AD8:AD10),5)</f>
        <v>49479.95</v>
      </c>
    </row>
    <row r="12" spans="1:30" ht="15.75" thickBot="1" x14ac:dyDescent="0.3">
      <c r="A12" s="369"/>
      <c r="B12" s="369"/>
      <c r="C12" s="369"/>
      <c r="D12" s="369" t="s">
        <v>204</v>
      </c>
      <c r="E12" s="369"/>
      <c r="F12" s="369"/>
      <c r="G12" s="369"/>
      <c r="H12" s="276">
        <f>ROUND(SUM(H5:H7)+H11,5)</f>
        <v>194555.61</v>
      </c>
      <c r="I12" s="274"/>
      <c r="J12" s="276">
        <f>ROUND(SUM(J5:J7)+J11,5)</f>
        <v>169247.95</v>
      </c>
      <c r="K12" s="274"/>
      <c r="L12" s="276">
        <f>ROUND(SUM(L5:L7)+L11,5)</f>
        <v>142142.29999999999</v>
      </c>
      <c r="M12" s="274"/>
      <c r="N12" s="276">
        <f>ROUND(SUM(N5:N7)+N11,5)</f>
        <v>132114.75</v>
      </c>
      <c r="O12" s="274"/>
      <c r="P12" s="276">
        <f>ROUND(SUM(P5:P7)+P11,5)</f>
        <v>63432.800000000003</v>
      </c>
      <c r="Q12" s="274"/>
      <c r="R12" s="276">
        <f>ROUND(SUM(R5:R7)+R11,5)</f>
        <v>110748.04</v>
      </c>
      <c r="S12" s="274"/>
      <c r="T12" s="276">
        <f>ROUND(SUM(T5:T7)+T11,5)</f>
        <v>102434.31</v>
      </c>
      <c r="U12" s="274"/>
      <c r="V12" s="276">
        <f>ROUND(SUM(V5:V7)+V11,5)</f>
        <v>143680.98000000001</v>
      </c>
      <c r="W12" s="274"/>
      <c r="X12" s="276">
        <f>ROUND(SUM(X5:X7)+X11,5)</f>
        <v>116289.76</v>
      </c>
      <c r="Y12" s="274"/>
      <c r="Z12" s="276">
        <f>ROUND(SUM(Z5:Z7)+Z11,5)</f>
        <v>115810.96</v>
      </c>
      <c r="AA12" s="274"/>
      <c r="AB12" s="276">
        <f>ROUND(SUM(AB5:AB7)+AB11,5)</f>
        <v>134200.70000000001</v>
      </c>
      <c r="AC12" s="274"/>
      <c r="AD12" s="276">
        <f>ROUND(SUM(AD5:AD7)+AD11,5)</f>
        <v>191359.99</v>
      </c>
    </row>
    <row r="13" spans="1:30" x14ac:dyDescent="0.25">
      <c r="A13" s="369"/>
      <c r="B13" s="369"/>
      <c r="C13" s="369" t="s">
        <v>205</v>
      </c>
      <c r="D13" s="369"/>
      <c r="E13" s="369"/>
      <c r="F13" s="369"/>
      <c r="G13" s="369"/>
      <c r="H13" s="366">
        <f>ROUND(H4+H12,5)</f>
        <v>194555.61</v>
      </c>
      <c r="I13" s="274"/>
      <c r="J13" s="366">
        <f>ROUND(J4+J12,5)</f>
        <v>169247.95</v>
      </c>
      <c r="K13" s="274"/>
      <c r="L13" s="366">
        <f>ROUND(L4+L12,5)</f>
        <v>142142.29999999999</v>
      </c>
      <c r="M13" s="274"/>
      <c r="N13" s="366">
        <f>ROUND(N4+N12,5)</f>
        <v>132114.75</v>
      </c>
      <c r="O13" s="274"/>
      <c r="P13" s="366">
        <f>ROUND(P4+P12,5)</f>
        <v>63432.800000000003</v>
      </c>
      <c r="Q13" s="274"/>
      <c r="R13" s="366">
        <f>ROUND(R4+R12,5)</f>
        <v>110748.04</v>
      </c>
      <c r="S13" s="274"/>
      <c r="T13" s="366">
        <f>ROUND(T4+T12,5)</f>
        <v>102434.31</v>
      </c>
      <c r="U13" s="274"/>
      <c r="V13" s="366">
        <f>ROUND(V4+V12,5)</f>
        <v>143680.98000000001</v>
      </c>
      <c r="W13" s="274"/>
      <c r="X13" s="366">
        <f>ROUND(X4+X12,5)</f>
        <v>116289.76</v>
      </c>
      <c r="Y13" s="274"/>
      <c r="Z13" s="366">
        <f>ROUND(Z4+Z12,5)</f>
        <v>115810.96</v>
      </c>
      <c r="AA13" s="274"/>
      <c r="AB13" s="366">
        <f>ROUND(AB4+AB12,5)</f>
        <v>134200.70000000001</v>
      </c>
      <c r="AC13" s="274"/>
      <c r="AD13" s="366">
        <f>ROUND(AD4+AD12,5)</f>
        <v>191359.99</v>
      </c>
    </row>
    <row r="14" spans="1:30" x14ac:dyDescent="0.25">
      <c r="A14" s="369"/>
      <c r="B14" s="369"/>
      <c r="C14" s="369" t="s">
        <v>206</v>
      </c>
      <c r="D14" s="369"/>
      <c r="E14" s="369"/>
      <c r="F14" s="369"/>
      <c r="G14" s="369"/>
      <c r="H14" s="366"/>
      <c r="I14" s="274"/>
      <c r="J14" s="366"/>
      <c r="K14" s="274"/>
      <c r="L14" s="366"/>
      <c r="M14" s="274"/>
      <c r="N14" s="366"/>
      <c r="O14" s="274"/>
      <c r="P14" s="366"/>
      <c r="Q14" s="274"/>
      <c r="R14" s="366"/>
      <c r="S14" s="274"/>
      <c r="T14" s="366"/>
      <c r="U14" s="274"/>
      <c r="V14" s="366"/>
      <c r="W14" s="274"/>
      <c r="X14" s="366"/>
      <c r="Y14" s="274"/>
      <c r="Z14" s="366"/>
      <c r="AA14" s="274"/>
      <c r="AB14" s="366"/>
      <c r="AC14" s="274"/>
      <c r="AD14" s="366"/>
    </row>
    <row r="15" spans="1:30" ht="15.75" thickBot="1" x14ac:dyDescent="0.3">
      <c r="A15" s="369"/>
      <c r="B15" s="369"/>
      <c r="C15" s="369"/>
      <c r="D15" s="369" t="s">
        <v>207</v>
      </c>
      <c r="E15" s="369"/>
      <c r="F15" s="369"/>
      <c r="G15" s="369"/>
      <c r="H15" s="275">
        <v>51353.279999999999</v>
      </c>
      <c r="I15" s="274"/>
      <c r="J15" s="275">
        <v>37304.65</v>
      </c>
      <c r="K15" s="274"/>
      <c r="L15" s="275">
        <v>30654.11</v>
      </c>
      <c r="M15" s="274"/>
      <c r="N15" s="275">
        <v>37960.559999999998</v>
      </c>
      <c r="O15" s="274"/>
      <c r="P15" s="275">
        <v>60044.06</v>
      </c>
      <c r="Q15" s="274"/>
      <c r="R15" s="275">
        <v>57643.89</v>
      </c>
      <c r="S15" s="274"/>
      <c r="T15" s="275">
        <v>32093.19</v>
      </c>
      <c r="U15" s="274"/>
      <c r="V15" s="275">
        <v>17656.689999999999</v>
      </c>
      <c r="W15" s="274"/>
      <c r="X15" s="275">
        <v>13325.76</v>
      </c>
      <c r="Y15" s="274"/>
      <c r="Z15" s="275">
        <v>41045.620000000003</v>
      </c>
      <c r="AA15" s="274"/>
      <c r="AB15" s="275">
        <v>78225.990000000005</v>
      </c>
      <c r="AC15" s="274"/>
      <c r="AD15" s="275">
        <v>80017.42</v>
      </c>
    </row>
    <row r="16" spans="1:30" x14ac:dyDescent="0.25">
      <c r="A16" s="369"/>
      <c r="B16" s="369"/>
      <c r="C16" s="369" t="s">
        <v>208</v>
      </c>
      <c r="D16" s="369"/>
      <c r="E16" s="369"/>
      <c r="F16" s="369"/>
      <c r="G16" s="369"/>
      <c r="H16" s="366">
        <f>ROUND(SUM(H14:H15),5)</f>
        <v>51353.279999999999</v>
      </c>
      <c r="I16" s="274"/>
      <c r="J16" s="366">
        <f>ROUND(SUM(J14:J15),5)</f>
        <v>37304.65</v>
      </c>
      <c r="K16" s="274"/>
      <c r="L16" s="366">
        <f>ROUND(SUM(L14:L15),5)</f>
        <v>30654.11</v>
      </c>
      <c r="M16" s="274"/>
      <c r="N16" s="366">
        <f>ROUND(SUM(N14:N15),5)</f>
        <v>37960.559999999998</v>
      </c>
      <c r="O16" s="274"/>
      <c r="P16" s="366">
        <f>ROUND(SUM(P14:P15),5)</f>
        <v>60044.06</v>
      </c>
      <c r="Q16" s="274"/>
      <c r="R16" s="366">
        <f>ROUND(SUM(R14:R15),5)</f>
        <v>57643.89</v>
      </c>
      <c r="S16" s="274"/>
      <c r="T16" s="366">
        <f>ROUND(SUM(T14:T15),5)</f>
        <v>32093.19</v>
      </c>
      <c r="U16" s="274"/>
      <c r="V16" s="366">
        <f>ROUND(SUM(V14:V15),5)</f>
        <v>17656.689999999999</v>
      </c>
      <c r="W16" s="274"/>
      <c r="X16" s="366">
        <f>ROUND(SUM(X14:X15),5)</f>
        <v>13325.76</v>
      </c>
      <c r="Y16" s="274"/>
      <c r="Z16" s="366">
        <f>ROUND(SUM(Z14:Z15),5)</f>
        <v>41045.620000000003</v>
      </c>
      <c r="AA16" s="274"/>
      <c r="AB16" s="366">
        <f>ROUND(SUM(AB14:AB15),5)</f>
        <v>78225.990000000005</v>
      </c>
      <c r="AC16" s="274"/>
      <c r="AD16" s="366">
        <f>ROUND(SUM(AD14:AD15),5)</f>
        <v>80017.42</v>
      </c>
    </row>
    <row r="17" spans="1:30" x14ac:dyDescent="0.25">
      <c r="A17" s="369"/>
      <c r="B17" s="369"/>
      <c r="C17" s="369" t="s">
        <v>209</v>
      </c>
      <c r="D17" s="369"/>
      <c r="E17" s="369"/>
      <c r="F17" s="369"/>
      <c r="G17" s="369"/>
      <c r="H17" s="366"/>
      <c r="I17" s="274"/>
      <c r="J17" s="366"/>
      <c r="K17" s="274"/>
      <c r="L17" s="366"/>
      <c r="M17" s="274"/>
      <c r="N17" s="366"/>
      <c r="O17" s="274"/>
      <c r="P17" s="366"/>
      <c r="Q17" s="274"/>
      <c r="R17" s="366"/>
      <c r="S17" s="274"/>
      <c r="T17" s="366"/>
      <c r="U17" s="274"/>
      <c r="V17" s="366"/>
      <c r="W17" s="274"/>
      <c r="X17" s="366"/>
      <c r="Y17" s="274"/>
      <c r="Z17" s="366"/>
      <c r="AA17" s="274"/>
      <c r="AB17" s="366"/>
      <c r="AC17" s="274"/>
      <c r="AD17" s="366"/>
    </row>
    <row r="18" spans="1:30" x14ac:dyDescent="0.25">
      <c r="A18" s="369"/>
      <c r="B18" s="369"/>
      <c r="C18" s="369"/>
      <c r="D18" s="369" t="s">
        <v>210</v>
      </c>
      <c r="E18" s="369"/>
      <c r="F18" s="369"/>
      <c r="G18" s="369"/>
      <c r="H18" s="366">
        <v>3167.98</v>
      </c>
      <c r="I18" s="274"/>
      <c r="J18" s="366">
        <v>3000.56</v>
      </c>
      <c r="K18" s="274"/>
      <c r="L18" s="366">
        <v>2976.91</v>
      </c>
      <c r="M18" s="274"/>
      <c r="N18" s="366">
        <v>2976.91</v>
      </c>
      <c r="O18" s="274"/>
      <c r="P18" s="366">
        <v>2952.95</v>
      </c>
      <c r="Q18" s="274"/>
      <c r="R18" s="366">
        <v>2944.84</v>
      </c>
      <c r="S18" s="274"/>
      <c r="T18" s="366">
        <v>2935.51</v>
      </c>
      <c r="U18" s="274"/>
      <c r="V18" s="366">
        <v>2935.51</v>
      </c>
      <c r="W18" s="274"/>
      <c r="X18" s="366">
        <v>2911.85</v>
      </c>
      <c r="Y18" s="274"/>
      <c r="Z18" s="366">
        <v>2911.85</v>
      </c>
      <c r="AA18" s="274"/>
      <c r="AB18" s="366">
        <v>2910.14</v>
      </c>
      <c r="AC18" s="274"/>
      <c r="AD18" s="366">
        <v>2903.31</v>
      </c>
    </row>
    <row r="19" spans="1:30" x14ac:dyDescent="0.25">
      <c r="A19" s="369"/>
      <c r="B19" s="369"/>
      <c r="C19" s="369"/>
      <c r="D19" s="369" t="s">
        <v>211</v>
      </c>
      <c r="E19" s="369"/>
      <c r="F19" s="369"/>
      <c r="G19" s="369"/>
      <c r="H19" s="366">
        <v>0</v>
      </c>
      <c r="I19" s="274"/>
      <c r="J19" s="366">
        <v>0</v>
      </c>
      <c r="K19" s="274"/>
      <c r="L19" s="366">
        <v>0</v>
      </c>
      <c r="M19" s="274"/>
      <c r="N19" s="366">
        <v>0</v>
      </c>
      <c r="O19" s="274"/>
      <c r="P19" s="366">
        <v>0</v>
      </c>
      <c r="Q19" s="274"/>
      <c r="R19" s="366">
        <v>-422.11</v>
      </c>
      <c r="S19" s="274"/>
      <c r="T19" s="366">
        <v>-844.22</v>
      </c>
      <c r="U19" s="274"/>
      <c r="V19" s="366">
        <v>-844.22</v>
      </c>
      <c r="W19" s="274"/>
      <c r="X19" s="366">
        <v>0</v>
      </c>
      <c r="Y19" s="274"/>
      <c r="Z19" s="366">
        <v>0</v>
      </c>
      <c r="AA19" s="274"/>
      <c r="AB19" s="366">
        <v>0</v>
      </c>
      <c r="AC19" s="274"/>
      <c r="AD19" s="366">
        <v>0</v>
      </c>
    </row>
    <row r="20" spans="1:30" x14ac:dyDescent="0.25">
      <c r="A20" s="369"/>
      <c r="B20" s="369"/>
      <c r="C20" s="369"/>
      <c r="D20" s="369" t="s">
        <v>212</v>
      </c>
      <c r="E20" s="369"/>
      <c r="F20" s="369"/>
      <c r="G20" s="369"/>
      <c r="H20" s="366">
        <v>4904</v>
      </c>
      <c r="I20" s="274"/>
      <c r="J20" s="366">
        <v>0</v>
      </c>
      <c r="K20" s="274"/>
      <c r="L20" s="366">
        <v>1150</v>
      </c>
      <c r="M20" s="274"/>
      <c r="N20" s="366">
        <v>200</v>
      </c>
      <c r="O20" s="274"/>
      <c r="P20" s="366">
        <v>1899.96</v>
      </c>
      <c r="Q20" s="274"/>
      <c r="R20" s="366">
        <v>0</v>
      </c>
      <c r="S20" s="274"/>
      <c r="T20" s="366">
        <v>0</v>
      </c>
      <c r="U20" s="274"/>
      <c r="V20" s="366">
        <v>0</v>
      </c>
      <c r="W20" s="274"/>
      <c r="X20" s="366">
        <v>0</v>
      </c>
      <c r="Y20" s="274"/>
      <c r="Z20" s="366">
        <v>0</v>
      </c>
      <c r="AA20" s="274"/>
      <c r="AB20" s="366">
        <v>0</v>
      </c>
      <c r="AC20" s="274"/>
      <c r="AD20" s="366">
        <v>0</v>
      </c>
    </row>
    <row r="21" spans="1:30" x14ac:dyDescent="0.25">
      <c r="A21" s="369"/>
      <c r="B21" s="369"/>
      <c r="C21" s="369"/>
      <c r="D21" s="369" t="s">
        <v>213</v>
      </c>
      <c r="E21" s="369"/>
      <c r="F21" s="369"/>
      <c r="G21" s="369"/>
      <c r="H21" s="366"/>
      <c r="I21" s="274"/>
      <c r="J21" s="366"/>
      <c r="K21" s="274"/>
      <c r="L21" s="366"/>
      <c r="M21" s="274"/>
      <c r="N21" s="366"/>
      <c r="O21" s="274"/>
      <c r="P21" s="366"/>
      <c r="Q21" s="274"/>
      <c r="R21" s="366"/>
      <c r="S21" s="274"/>
      <c r="T21" s="366"/>
      <c r="U21" s="274"/>
      <c r="V21" s="366"/>
      <c r="W21" s="274"/>
      <c r="X21" s="366"/>
      <c r="Y21" s="274"/>
      <c r="Z21" s="366"/>
      <c r="AA21" s="274"/>
      <c r="AB21" s="366"/>
      <c r="AC21" s="274"/>
      <c r="AD21" s="366"/>
    </row>
    <row r="22" spans="1:30" x14ac:dyDescent="0.25">
      <c r="A22" s="369"/>
      <c r="B22" s="369"/>
      <c r="C22" s="369"/>
      <c r="D22" s="369"/>
      <c r="E22" s="369" t="s">
        <v>214</v>
      </c>
      <c r="F22" s="369"/>
      <c r="G22" s="369"/>
      <c r="H22" s="366">
        <v>12450.05</v>
      </c>
      <c r="I22" s="274"/>
      <c r="J22" s="366">
        <v>33872.79</v>
      </c>
      <c r="K22" s="274"/>
      <c r="L22" s="366">
        <v>58432.51</v>
      </c>
      <c r="M22" s="274"/>
      <c r="N22" s="366">
        <v>83826.03</v>
      </c>
      <c r="O22" s="274"/>
      <c r="P22" s="366">
        <v>106424.58</v>
      </c>
      <c r="Q22" s="274"/>
      <c r="R22" s="366">
        <v>64993.99</v>
      </c>
      <c r="S22" s="274"/>
      <c r="T22" s="366">
        <v>91703.33</v>
      </c>
      <c r="U22" s="274"/>
      <c r="V22" s="366">
        <v>51746.92</v>
      </c>
      <c r="W22" s="274"/>
      <c r="X22" s="366">
        <v>81471.62</v>
      </c>
      <c r="Y22" s="274"/>
      <c r="Z22" s="366">
        <v>104656.96000000001</v>
      </c>
      <c r="AA22" s="274"/>
      <c r="AB22" s="366">
        <v>37797.96</v>
      </c>
      <c r="AC22" s="274"/>
      <c r="AD22" s="366">
        <v>65237.05</v>
      </c>
    </row>
    <row r="23" spans="1:30" ht="15.75" thickBot="1" x14ac:dyDescent="0.3">
      <c r="A23" s="369"/>
      <c r="B23" s="369"/>
      <c r="C23" s="369"/>
      <c r="D23" s="369"/>
      <c r="E23" s="369" t="s">
        <v>215</v>
      </c>
      <c r="F23" s="369"/>
      <c r="G23" s="369"/>
      <c r="H23" s="275">
        <v>41590.07</v>
      </c>
      <c r="I23" s="274"/>
      <c r="J23" s="275">
        <v>45792.79</v>
      </c>
      <c r="K23" s="274"/>
      <c r="L23" s="275">
        <v>39718.04</v>
      </c>
      <c r="M23" s="274"/>
      <c r="N23" s="275">
        <v>31543.97</v>
      </c>
      <c r="O23" s="274"/>
      <c r="P23" s="275">
        <v>37428.03</v>
      </c>
      <c r="Q23" s="274"/>
      <c r="R23" s="275">
        <v>23715.43</v>
      </c>
      <c r="S23" s="274"/>
      <c r="T23" s="275">
        <v>20822.849999999999</v>
      </c>
      <c r="U23" s="274"/>
      <c r="V23" s="275">
        <v>21734.82</v>
      </c>
      <c r="W23" s="274"/>
      <c r="X23" s="275">
        <v>21801.55</v>
      </c>
      <c r="Y23" s="274"/>
      <c r="Z23" s="275">
        <v>23445.17</v>
      </c>
      <c r="AA23" s="274"/>
      <c r="AB23" s="275">
        <v>30633.37</v>
      </c>
      <c r="AC23" s="274"/>
      <c r="AD23" s="275">
        <v>4561.92</v>
      </c>
    </row>
    <row r="24" spans="1:30" x14ac:dyDescent="0.25">
      <c r="A24" s="369"/>
      <c r="B24" s="369"/>
      <c r="C24" s="369"/>
      <c r="D24" s="369" t="s">
        <v>216</v>
      </c>
      <c r="E24" s="369"/>
      <c r="F24" s="369"/>
      <c r="G24" s="369"/>
      <c r="H24" s="366">
        <f>ROUND(SUM(H21:H23),5)</f>
        <v>54040.12</v>
      </c>
      <c r="I24" s="274"/>
      <c r="J24" s="366">
        <f>ROUND(SUM(J21:J23),5)</f>
        <v>79665.58</v>
      </c>
      <c r="K24" s="274"/>
      <c r="L24" s="366">
        <f>ROUND(SUM(L21:L23),5)</f>
        <v>98150.55</v>
      </c>
      <c r="M24" s="274"/>
      <c r="N24" s="366">
        <f>ROUND(SUM(N21:N23),5)</f>
        <v>115370</v>
      </c>
      <c r="O24" s="274"/>
      <c r="P24" s="366">
        <f>ROUND(SUM(P21:P23),5)</f>
        <v>143852.60999999999</v>
      </c>
      <c r="Q24" s="274"/>
      <c r="R24" s="366">
        <f>ROUND(SUM(R21:R23),5)</f>
        <v>88709.42</v>
      </c>
      <c r="S24" s="274"/>
      <c r="T24" s="366">
        <f>ROUND(SUM(T21:T23),5)</f>
        <v>112526.18</v>
      </c>
      <c r="U24" s="274"/>
      <c r="V24" s="366">
        <f>ROUND(SUM(V21:V23),5)</f>
        <v>73481.740000000005</v>
      </c>
      <c r="W24" s="274"/>
      <c r="X24" s="366">
        <f>ROUND(SUM(X21:X23),5)</f>
        <v>103273.17</v>
      </c>
      <c r="Y24" s="274"/>
      <c r="Z24" s="366">
        <f>ROUND(SUM(Z21:Z23),5)</f>
        <v>128102.13</v>
      </c>
      <c r="AA24" s="274"/>
      <c r="AB24" s="366">
        <f>ROUND(SUM(AB21:AB23),5)</f>
        <v>68431.33</v>
      </c>
      <c r="AC24" s="274"/>
      <c r="AD24" s="366">
        <f>ROUND(SUM(AD21:AD23),5)</f>
        <v>69798.97</v>
      </c>
    </row>
    <row r="25" spans="1:30" x14ac:dyDescent="0.25">
      <c r="A25" s="369"/>
      <c r="B25" s="369"/>
      <c r="C25" s="369"/>
      <c r="D25" s="369" t="s">
        <v>217</v>
      </c>
      <c r="E25" s="369"/>
      <c r="F25" s="369"/>
      <c r="G25" s="369"/>
      <c r="H25" s="366">
        <v>11974.34</v>
      </c>
      <c r="I25" s="274"/>
      <c r="J25" s="366">
        <v>11481.01</v>
      </c>
      <c r="K25" s="274"/>
      <c r="L25" s="366">
        <v>12661.77</v>
      </c>
      <c r="M25" s="274"/>
      <c r="N25" s="366">
        <v>13798.43</v>
      </c>
      <c r="O25" s="274"/>
      <c r="P25" s="366">
        <v>14519.86</v>
      </c>
      <c r="Q25" s="274"/>
      <c r="R25" s="366">
        <v>6813.14</v>
      </c>
      <c r="S25" s="274"/>
      <c r="T25" s="366">
        <v>6712.33</v>
      </c>
      <c r="U25" s="274"/>
      <c r="V25" s="366">
        <v>6145.92</v>
      </c>
      <c r="W25" s="274"/>
      <c r="X25" s="366">
        <v>8723.33</v>
      </c>
      <c r="Y25" s="274"/>
      <c r="Z25" s="366">
        <v>10643.78</v>
      </c>
      <c r="AA25" s="274"/>
      <c r="AB25" s="366">
        <v>6206.8</v>
      </c>
      <c r="AC25" s="274"/>
      <c r="AD25" s="366">
        <v>20017.28</v>
      </c>
    </row>
    <row r="26" spans="1:30" ht="15.75" thickBot="1" x14ac:dyDescent="0.3">
      <c r="A26" s="369"/>
      <c r="B26" s="369"/>
      <c r="C26" s="369"/>
      <c r="D26" s="369" t="s">
        <v>218</v>
      </c>
      <c r="E26" s="369"/>
      <c r="F26" s="369"/>
      <c r="G26" s="369"/>
      <c r="H26" s="365">
        <v>19463.560000000001</v>
      </c>
      <c r="I26" s="274"/>
      <c r="J26" s="365">
        <v>18591.47</v>
      </c>
      <c r="K26" s="274"/>
      <c r="L26" s="365">
        <v>20550.88</v>
      </c>
      <c r="M26" s="274"/>
      <c r="N26" s="365">
        <v>20195.7</v>
      </c>
      <c r="O26" s="274"/>
      <c r="P26" s="365">
        <v>20869.84</v>
      </c>
      <c r="Q26" s="274"/>
      <c r="R26" s="365">
        <v>20146.560000000001</v>
      </c>
      <c r="S26" s="274"/>
      <c r="T26" s="365">
        <v>16896.689999999999</v>
      </c>
      <c r="U26" s="274"/>
      <c r="V26" s="365">
        <v>16306.24</v>
      </c>
      <c r="W26" s="274"/>
      <c r="X26" s="365">
        <v>20168.21</v>
      </c>
      <c r="Y26" s="274"/>
      <c r="Z26" s="365">
        <v>14740.57</v>
      </c>
      <c r="AA26" s="274"/>
      <c r="AB26" s="365">
        <v>16666.5</v>
      </c>
      <c r="AC26" s="274"/>
      <c r="AD26" s="365">
        <v>17648.990000000002</v>
      </c>
    </row>
    <row r="27" spans="1:30" ht="15.75" thickBot="1" x14ac:dyDescent="0.3">
      <c r="A27" s="369"/>
      <c r="B27" s="369"/>
      <c r="C27" s="369" t="s">
        <v>219</v>
      </c>
      <c r="D27" s="369"/>
      <c r="E27" s="369"/>
      <c r="F27" s="369"/>
      <c r="G27" s="369"/>
      <c r="H27" s="276">
        <f>ROUND(SUM(H17:H20)+SUM(H24:H26),5)</f>
        <v>93550</v>
      </c>
      <c r="I27" s="274"/>
      <c r="J27" s="276">
        <f>ROUND(SUM(J17:J20)+SUM(J24:J26),5)</f>
        <v>112738.62</v>
      </c>
      <c r="K27" s="274"/>
      <c r="L27" s="276">
        <f>ROUND(SUM(L17:L20)+SUM(L24:L26),5)</f>
        <v>135490.10999999999</v>
      </c>
      <c r="M27" s="274"/>
      <c r="N27" s="276">
        <f>ROUND(SUM(N17:N20)+SUM(N24:N26),5)</f>
        <v>152541.04</v>
      </c>
      <c r="O27" s="274"/>
      <c r="P27" s="276">
        <f>ROUND(SUM(P17:P20)+SUM(P24:P26),5)</f>
        <v>184095.22</v>
      </c>
      <c r="Q27" s="274"/>
      <c r="R27" s="276">
        <f>ROUND(SUM(R17:R20)+SUM(R24:R26),5)</f>
        <v>118191.85</v>
      </c>
      <c r="S27" s="274"/>
      <c r="T27" s="276">
        <f>ROUND(SUM(T17:T20)+SUM(T24:T26),5)</f>
        <v>138226.49</v>
      </c>
      <c r="U27" s="274"/>
      <c r="V27" s="276">
        <f>ROUND(SUM(V17:V20)+SUM(V24:V26),5)</f>
        <v>98025.19</v>
      </c>
      <c r="W27" s="274"/>
      <c r="X27" s="276">
        <f>ROUND(SUM(X17:X20)+SUM(X24:X26),5)</f>
        <v>135076.56</v>
      </c>
      <c r="Y27" s="274"/>
      <c r="Z27" s="276">
        <f>ROUND(SUM(Z17:Z20)+SUM(Z24:Z26),5)</f>
        <v>156398.32999999999</v>
      </c>
      <c r="AA27" s="274"/>
      <c r="AB27" s="276">
        <f>ROUND(SUM(AB17:AB20)+SUM(AB24:AB26),5)</f>
        <v>94214.77</v>
      </c>
      <c r="AC27" s="274"/>
      <c r="AD27" s="276">
        <f>ROUND(SUM(AD17:AD20)+SUM(AD24:AD26),5)</f>
        <v>110368.55</v>
      </c>
    </row>
    <row r="28" spans="1:30" x14ac:dyDescent="0.25">
      <c r="A28" s="369"/>
      <c r="B28" s="369" t="s">
        <v>220</v>
      </c>
      <c r="C28" s="369"/>
      <c r="D28" s="369"/>
      <c r="E28" s="369"/>
      <c r="F28" s="369"/>
      <c r="G28" s="369"/>
      <c r="H28" s="366">
        <f>ROUND(H3+H13+H16+H27,5)</f>
        <v>339458.89</v>
      </c>
      <c r="I28" s="274"/>
      <c r="J28" s="366">
        <f>ROUND(J3+J13+J16+J27,5)</f>
        <v>319291.21999999997</v>
      </c>
      <c r="K28" s="274"/>
      <c r="L28" s="366">
        <f>ROUND(L3+L13+L16+L27,5)</f>
        <v>308286.52</v>
      </c>
      <c r="M28" s="274"/>
      <c r="N28" s="366">
        <f>ROUND(N3+N13+N16+N27,5)</f>
        <v>322616.34999999998</v>
      </c>
      <c r="O28" s="274"/>
      <c r="P28" s="366">
        <f>ROUND(P3+P13+P16+P27,5)</f>
        <v>307572.08</v>
      </c>
      <c r="Q28" s="274"/>
      <c r="R28" s="366">
        <f>ROUND(R3+R13+R16+R27,5)</f>
        <v>286583.78000000003</v>
      </c>
      <c r="S28" s="274"/>
      <c r="T28" s="366">
        <f>ROUND(T3+T13+T16+T27,5)</f>
        <v>272753.99</v>
      </c>
      <c r="U28" s="274"/>
      <c r="V28" s="366">
        <f>ROUND(V3+V13+V16+V27,5)</f>
        <v>259362.86</v>
      </c>
      <c r="W28" s="274"/>
      <c r="X28" s="366">
        <f>ROUND(X3+X13+X16+X27,5)</f>
        <v>264692.08</v>
      </c>
      <c r="Y28" s="274"/>
      <c r="Z28" s="366">
        <f>ROUND(Z3+Z13+Z16+Z27,5)</f>
        <v>313254.90999999997</v>
      </c>
      <c r="AA28" s="274"/>
      <c r="AB28" s="366">
        <f>ROUND(AB3+AB13+AB16+AB27,5)</f>
        <v>306641.46000000002</v>
      </c>
      <c r="AC28" s="274"/>
      <c r="AD28" s="366">
        <f>ROUND(AD3+AD13+AD16+AD27,5)</f>
        <v>381745.96</v>
      </c>
    </row>
    <row r="29" spans="1:30" x14ac:dyDescent="0.25">
      <c r="A29" s="369"/>
      <c r="B29" s="369" t="s">
        <v>221</v>
      </c>
      <c r="C29" s="369"/>
      <c r="D29" s="369"/>
      <c r="E29" s="369"/>
      <c r="F29" s="369"/>
      <c r="G29" s="369"/>
      <c r="H29" s="366"/>
      <c r="I29" s="274"/>
      <c r="J29" s="366"/>
      <c r="K29" s="274"/>
      <c r="L29" s="366"/>
      <c r="M29" s="274"/>
      <c r="N29" s="366"/>
      <c r="O29" s="274"/>
      <c r="P29" s="366"/>
      <c r="Q29" s="274"/>
      <c r="R29" s="366"/>
      <c r="S29" s="274"/>
      <c r="T29" s="366"/>
      <c r="U29" s="274"/>
      <c r="V29" s="366"/>
      <c r="W29" s="274"/>
      <c r="X29" s="366"/>
      <c r="Y29" s="274"/>
      <c r="Z29" s="366"/>
      <c r="AA29" s="274"/>
      <c r="AB29" s="366"/>
      <c r="AC29" s="274"/>
      <c r="AD29" s="366"/>
    </row>
    <row r="30" spans="1:30" x14ac:dyDescent="0.25">
      <c r="A30" s="369"/>
      <c r="B30" s="369"/>
      <c r="C30" s="369" t="s">
        <v>222</v>
      </c>
      <c r="D30" s="369"/>
      <c r="E30" s="369"/>
      <c r="F30" s="369"/>
      <c r="G30" s="369"/>
      <c r="H30" s="366">
        <v>3807</v>
      </c>
      <c r="I30" s="274"/>
      <c r="J30" s="366">
        <v>3807</v>
      </c>
      <c r="K30" s="274"/>
      <c r="L30" s="366">
        <v>3807</v>
      </c>
      <c r="M30" s="274"/>
      <c r="N30" s="366">
        <v>3807</v>
      </c>
      <c r="O30" s="274"/>
      <c r="P30" s="366">
        <v>3807</v>
      </c>
      <c r="Q30" s="274"/>
      <c r="R30" s="366">
        <v>3807</v>
      </c>
      <c r="S30" s="274"/>
      <c r="T30" s="366">
        <v>3807</v>
      </c>
      <c r="U30" s="274"/>
      <c r="V30" s="366">
        <v>3807</v>
      </c>
      <c r="W30" s="274"/>
      <c r="X30" s="366">
        <v>3807</v>
      </c>
      <c r="Y30" s="274"/>
      <c r="Z30" s="366">
        <v>3807</v>
      </c>
      <c r="AA30" s="274"/>
      <c r="AB30" s="366">
        <v>3807</v>
      </c>
      <c r="AC30" s="274"/>
      <c r="AD30" s="366">
        <v>3807</v>
      </c>
    </row>
    <row r="31" spans="1:30" x14ac:dyDescent="0.25">
      <c r="A31" s="369"/>
      <c r="B31" s="369"/>
      <c r="C31" s="369" t="s">
        <v>223</v>
      </c>
      <c r="D31" s="369"/>
      <c r="E31" s="369"/>
      <c r="F31" s="369"/>
      <c r="G31" s="369"/>
      <c r="H31" s="366">
        <v>0</v>
      </c>
      <c r="I31" s="274"/>
      <c r="J31" s="366">
        <v>0</v>
      </c>
      <c r="K31" s="274"/>
      <c r="L31" s="366">
        <v>0</v>
      </c>
      <c r="M31" s="274"/>
      <c r="N31" s="366">
        <v>0</v>
      </c>
      <c r="O31" s="274"/>
      <c r="P31" s="366">
        <v>72.28</v>
      </c>
      <c r="Q31" s="274"/>
      <c r="R31" s="366">
        <v>0</v>
      </c>
      <c r="S31" s="274"/>
      <c r="T31" s="366">
        <v>0</v>
      </c>
      <c r="U31" s="274"/>
      <c r="V31" s="366">
        <v>0</v>
      </c>
      <c r="W31" s="274"/>
      <c r="X31" s="366">
        <v>0</v>
      </c>
      <c r="Y31" s="274"/>
      <c r="Z31" s="366">
        <v>0</v>
      </c>
      <c r="AA31" s="274"/>
      <c r="AB31" s="366">
        <v>0</v>
      </c>
      <c r="AC31" s="274"/>
      <c r="AD31" s="366">
        <v>0</v>
      </c>
    </row>
    <row r="32" spans="1:30" ht="15.75" thickBot="1" x14ac:dyDescent="0.3">
      <c r="A32" s="369"/>
      <c r="B32" s="369"/>
      <c r="C32" s="369" t="s">
        <v>224</v>
      </c>
      <c r="D32" s="369"/>
      <c r="E32" s="369"/>
      <c r="F32" s="369"/>
      <c r="G32" s="369"/>
      <c r="H32" s="275">
        <v>-3807</v>
      </c>
      <c r="I32" s="274"/>
      <c r="J32" s="275">
        <v>-3807</v>
      </c>
      <c r="K32" s="274"/>
      <c r="L32" s="275">
        <v>-3807</v>
      </c>
      <c r="M32" s="274"/>
      <c r="N32" s="275">
        <v>-3807</v>
      </c>
      <c r="O32" s="274"/>
      <c r="P32" s="275">
        <v>-3807</v>
      </c>
      <c r="Q32" s="274"/>
      <c r="R32" s="275">
        <v>-3807</v>
      </c>
      <c r="S32" s="274"/>
      <c r="T32" s="275">
        <v>-3807</v>
      </c>
      <c r="U32" s="274"/>
      <c r="V32" s="275">
        <v>-3807</v>
      </c>
      <c r="W32" s="274"/>
      <c r="X32" s="275">
        <v>-3807</v>
      </c>
      <c r="Y32" s="274"/>
      <c r="Z32" s="275">
        <v>-3807</v>
      </c>
      <c r="AA32" s="274"/>
      <c r="AB32" s="275">
        <v>-3807</v>
      </c>
      <c r="AC32" s="274"/>
      <c r="AD32" s="275">
        <v>-3807</v>
      </c>
    </row>
    <row r="33" spans="1:30" x14ac:dyDescent="0.25">
      <c r="A33" s="369"/>
      <c r="B33" s="369" t="s">
        <v>225</v>
      </c>
      <c r="C33" s="369"/>
      <c r="D33" s="369"/>
      <c r="E33" s="369"/>
      <c r="F33" s="369"/>
      <c r="G33" s="369"/>
      <c r="H33" s="366">
        <f>ROUND(SUM(H29:H32),5)</f>
        <v>0</v>
      </c>
      <c r="I33" s="274"/>
      <c r="J33" s="366">
        <f>ROUND(SUM(J29:J32),5)</f>
        <v>0</v>
      </c>
      <c r="K33" s="274"/>
      <c r="L33" s="366">
        <f>ROUND(SUM(L29:L32),5)</f>
        <v>0</v>
      </c>
      <c r="M33" s="274"/>
      <c r="N33" s="366">
        <f>ROUND(SUM(N29:N32),5)</f>
        <v>0</v>
      </c>
      <c r="O33" s="274"/>
      <c r="P33" s="366">
        <f>ROUND(SUM(P29:P32),5)</f>
        <v>72.28</v>
      </c>
      <c r="Q33" s="274"/>
      <c r="R33" s="366">
        <f>ROUND(SUM(R29:R32),5)</f>
        <v>0</v>
      </c>
      <c r="S33" s="274"/>
      <c r="T33" s="366">
        <f>ROUND(SUM(T29:T32),5)</f>
        <v>0</v>
      </c>
      <c r="U33" s="274"/>
      <c r="V33" s="366">
        <f>ROUND(SUM(V29:V32),5)</f>
        <v>0</v>
      </c>
      <c r="W33" s="274"/>
      <c r="X33" s="366">
        <f>ROUND(SUM(X29:X32),5)</f>
        <v>0</v>
      </c>
      <c r="Y33" s="274"/>
      <c r="Z33" s="366">
        <f>ROUND(SUM(Z29:Z32),5)</f>
        <v>0</v>
      </c>
      <c r="AA33" s="274"/>
      <c r="AB33" s="366">
        <f>ROUND(SUM(AB29:AB32),5)</f>
        <v>0</v>
      </c>
      <c r="AC33" s="274"/>
      <c r="AD33" s="366">
        <f>ROUND(SUM(AD29:AD32),5)</f>
        <v>0</v>
      </c>
    </row>
    <row r="34" spans="1:30" x14ac:dyDescent="0.25">
      <c r="A34" s="369"/>
      <c r="B34" s="369" t="s">
        <v>226</v>
      </c>
      <c r="C34" s="369"/>
      <c r="D34" s="369"/>
      <c r="E34" s="369"/>
      <c r="F34" s="369"/>
      <c r="G34" s="369"/>
      <c r="H34" s="366"/>
      <c r="I34" s="274"/>
      <c r="J34" s="366"/>
      <c r="K34" s="274"/>
      <c r="L34" s="366"/>
      <c r="M34" s="274"/>
      <c r="N34" s="366"/>
      <c r="O34" s="274"/>
      <c r="P34" s="366"/>
      <c r="Q34" s="274"/>
      <c r="R34" s="366"/>
      <c r="S34" s="274"/>
      <c r="T34" s="366"/>
      <c r="U34" s="274"/>
      <c r="V34" s="366"/>
      <c r="W34" s="274"/>
      <c r="X34" s="366"/>
      <c r="Y34" s="274"/>
      <c r="Z34" s="366"/>
      <c r="AA34" s="274"/>
      <c r="AB34" s="366"/>
      <c r="AC34" s="274"/>
      <c r="AD34" s="366"/>
    </row>
    <row r="35" spans="1:30" ht="15.75" thickBot="1" x14ac:dyDescent="0.3">
      <c r="A35" s="369"/>
      <c r="B35" s="369"/>
      <c r="C35" s="369" t="s">
        <v>227</v>
      </c>
      <c r="D35" s="369"/>
      <c r="E35" s="369"/>
      <c r="F35" s="369"/>
      <c r="G35" s="369"/>
      <c r="H35" s="365">
        <v>2698.25</v>
      </c>
      <c r="I35" s="274"/>
      <c r="J35" s="365">
        <v>2698.25</v>
      </c>
      <c r="K35" s="274"/>
      <c r="L35" s="365">
        <v>2698.25</v>
      </c>
      <c r="M35" s="274"/>
      <c r="N35" s="365">
        <v>2698.25</v>
      </c>
      <c r="O35" s="274"/>
      <c r="P35" s="365">
        <v>2698.25</v>
      </c>
      <c r="Q35" s="274"/>
      <c r="R35" s="365">
        <v>2698.25</v>
      </c>
      <c r="S35" s="274"/>
      <c r="T35" s="365">
        <v>2698.25</v>
      </c>
      <c r="U35" s="274"/>
      <c r="V35" s="365">
        <v>2698.25</v>
      </c>
      <c r="W35" s="274"/>
      <c r="X35" s="365">
        <v>2698.25</v>
      </c>
      <c r="Y35" s="274"/>
      <c r="Z35" s="365">
        <v>2698.25</v>
      </c>
      <c r="AA35" s="274"/>
      <c r="AB35" s="365">
        <v>2698.25</v>
      </c>
      <c r="AC35" s="274"/>
      <c r="AD35" s="365">
        <v>2698.25</v>
      </c>
    </row>
    <row r="36" spans="1:30" ht="15.75" thickBot="1" x14ac:dyDescent="0.3">
      <c r="A36" s="369"/>
      <c r="B36" s="369" t="s">
        <v>228</v>
      </c>
      <c r="C36" s="369"/>
      <c r="D36" s="369"/>
      <c r="E36" s="369"/>
      <c r="F36" s="369"/>
      <c r="G36" s="369"/>
      <c r="H36" s="277">
        <f>ROUND(SUM(H34:H35),5)</f>
        <v>2698.25</v>
      </c>
      <c r="I36" s="274"/>
      <c r="J36" s="277">
        <f>ROUND(SUM(J34:J35),5)</f>
        <v>2698.25</v>
      </c>
      <c r="K36" s="274"/>
      <c r="L36" s="277">
        <f>ROUND(SUM(L34:L35),5)</f>
        <v>2698.25</v>
      </c>
      <c r="M36" s="274"/>
      <c r="N36" s="277">
        <f>ROUND(SUM(N34:N35),5)</f>
        <v>2698.25</v>
      </c>
      <c r="O36" s="274"/>
      <c r="P36" s="277">
        <f>ROUND(SUM(P34:P35),5)</f>
        <v>2698.25</v>
      </c>
      <c r="Q36" s="274"/>
      <c r="R36" s="277">
        <f>ROUND(SUM(R34:R35),5)</f>
        <v>2698.25</v>
      </c>
      <c r="S36" s="274"/>
      <c r="T36" s="277">
        <f>ROUND(SUM(T34:T35),5)</f>
        <v>2698.25</v>
      </c>
      <c r="U36" s="274"/>
      <c r="V36" s="277">
        <f>ROUND(SUM(V34:V35),5)</f>
        <v>2698.25</v>
      </c>
      <c r="W36" s="274"/>
      <c r="X36" s="277">
        <f>ROUND(SUM(X34:X35),5)</f>
        <v>2698.25</v>
      </c>
      <c r="Y36" s="274"/>
      <c r="Z36" s="277">
        <f>ROUND(SUM(Z34:Z35),5)</f>
        <v>2698.25</v>
      </c>
      <c r="AA36" s="274"/>
      <c r="AB36" s="277">
        <f>ROUND(SUM(AB34:AB35),5)</f>
        <v>2698.25</v>
      </c>
      <c r="AC36" s="274"/>
      <c r="AD36" s="277">
        <f>ROUND(SUM(AD34:AD35),5)</f>
        <v>2698.25</v>
      </c>
    </row>
    <row r="37" spans="1:30" s="279" customFormat="1" ht="12" thickBot="1" x14ac:dyDescent="0.25">
      <c r="A37" s="369" t="s">
        <v>229</v>
      </c>
      <c r="B37" s="369"/>
      <c r="C37" s="369"/>
      <c r="D37" s="369"/>
      <c r="E37" s="369"/>
      <c r="F37" s="369"/>
      <c r="G37" s="369"/>
      <c r="H37" s="278">
        <f>ROUND(H2+H28+H33+H36,5)</f>
        <v>342157.14</v>
      </c>
      <c r="I37" s="369"/>
      <c r="J37" s="278">
        <f>ROUND(J2+J28+J33+J36,5)</f>
        <v>321989.46999999997</v>
      </c>
      <c r="K37" s="369"/>
      <c r="L37" s="278">
        <f>ROUND(L2+L28+L33+L36,5)</f>
        <v>310984.77</v>
      </c>
      <c r="M37" s="369"/>
      <c r="N37" s="278">
        <f>ROUND(N2+N28+N33+N36,5)</f>
        <v>325314.59999999998</v>
      </c>
      <c r="O37" s="369"/>
      <c r="P37" s="278">
        <f>ROUND(P2+P28+P33+P36,5)</f>
        <v>310342.61</v>
      </c>
      <c r="Q37" s="369"/>
      <c r="R37" s="278">
        <f>ROUND(R2+R28+R33+R36,5)</f>
        <v>289282.03000000003</v>
      </c>
      <c r="S37" s="369"/>
      <c r="T37" s="278">
        <f>ROUND(T2+T28+T33+T36,5)</f>
        <v>275452.24</v>
      </c>
      <c r="U37" s="369"/>
      <c r="V37" s="278">
        <f>ROUND(V2+V28+V33+V36,5)</f>
        <v>262061.11</v>
      </c>
      <c r="W37" s="369"/>
      <c r="X37" s="278">
        <f>ROUND(X2+X28+X33+X36,5)</f>
        <v>267390.33</v>
      </c>
      <c r="Y37" s="369"/>
      <c r="Z37" s="278">
        <f>ROUND(Z2+Z28+Z33+Z36,5)</f>
        <v>315953.15999999997</v>
      </c>
      <c r="AA37" s="369"/>
      <c r="AB37" s="278">
        <f>ROUND(AB2+AB28+AB33+AB36,5)</f>
        <v>309339.71000000002</v>
      </c>
      <c r="AC37" s="369"/>
      <c r="AD37" s="278">
        <f>ROUND(AD2+AD28+AD33+AD36,5)</f>
        <v>384444.21</v>
      </c>
    </row>
    <row r="38" spans="1:30" ht="15.75" thickTop="1" x14ac:dyDescent="0.25">
      <c r="A38" s="369" t="s">
        <v>230</v>
      </c>
      <c r="B38" s="369"/>
      <c r="C38" s="369"/>
      <c r="D38" s="369"/>
      <c r="E38" s="369"/>
      <c r="F38" s="369"/>
      <c r="G38" s="369"/>
      <c r="H38" s="366"/>
      <c r="I38" s="274"/>
      <c r="J38" s="366"/>
      <c r="K38" s="274"/>
      <c r="L38" s="366"/>
      <c r="M38" s="274"/>
      <c r="N38" s="366"/>
      <c r="O38" s="274"/>
      <c r="P38" s="366"/>
      <c r="Q38" s="274"/>
      <c r="R38" s="366"/>
      <c r="S38" s="274"/>
      <c r="T38" s="366"/>
      <c r="U38" s="274"/>
      <c r="V38" s="366"/>
      <c r="W38" s="274"/>
      <c r="X38" s="366"/>
      <c r="Y38" s="274"/>
      <c r="Z38" s="366"/>
      <c r="AA38" s="274"/>
      <c r="AB38" s="366"/>
      <c r="AC38" s="274"/>
      <c r="AD38" s="366"/>
    </row>
    <row r="39" spans="1:30" x14ac:dyDescent="0.25">
      <c r="A39" s="369"/>
      <c r="B39" s="369" t="s">
        <v>231</v>
      </c>
      <c r="C39" s="369"/>
      <c r="D39" s="369"/>
      <c r="E39" s="369"/>
      <c r="F39" s="369"/>
      <c r="G39" s="369"/>
      <c r="H39" s="366"/>
      <c r="I39" s="274"/>
      <c r="J39" s="366"/>
      <c r="K39" s="274"/>
      <c r="L39" s="366"/>
      <c r="M39" s="274"/>
      <c r="N39" s="366"/>
      <c r="O39" s="274"/>
      <c r="P39" s="366"/>
      <c r="Q39" s="274"/>
      <c r="R39" s="366"/>
      <c r="S39" s="274"/>
      <c r="T39" s="366"/>
      <c r="U39" s="274"/>
      <c r="V39" s="366"/>
      <c r="W39" s="274"/>
      <c r="X39" s="366"/>
      <c r="Y39" s="274"/>
      <c r="Z39" s="366"/>
      <c r="AA39" s="274"/>
      <c r="AB39" s="366"/>
      <c r="AC39" s="274"/>
      <c r="AD39" s="366"/>
    </row>
    <row r="40" spans="1:30" x14ac:dyDescent="0.25">
      <c r="A40" s="369"/>
      <c r="B40" s="369"/>
      <c r="C40" s="369" t="s">
        <v>232</v>
      </c>
      <c r="D40" s="369"/>
      <c r="E40" s="369"/>
      <c r="F40" s="369"/>
      <c r="G40" s="369"/>
      <c r="H40" s="366"/>
      <c r="I40" s="274"/>
      <c r="J40" s="366"/>
      <c r="K40" s="274"/>
      <c r="L40" s="366"/>
      <c r="M40" s="274"/>
      <c r="N40" s="366"/>
      <c r="O40" s="274"/>
      <c r="P40" s="366"/>
      <c r="Q40" s="274"/>
      <c r="R40" s="366"/>
      <c r="S40" s="274"/>
      <c r="T40" s="366"/>
      <c r="U40" s="274"/>
      <c r="V40" s="366"/>
      <c r="W40" s="274"/>
      <c r="X40" s="366"/>
      <c r="Y40" s="274"/>
      <c r="Z40" s="366"/>
      <c r="AA40" s="274"/>
      <c r="AB40" s="366"/>
      <c r="AC40" s="274"/>
      <c r="AD40" s="366"/>
    </row>
    <row r="41" spans="1:30" x14ac:dyDescent="0.25">
      <c r="A41" s="369"/>
      <c r="B41" s="369"/>
      <c r="C41" s="369"/>
      <c r="D41" s="369" t="s">
        <v>233</v>
      </c>
      <c r="E41" s="369"/>
      <c r="F41" s="369"/>
      <c r="G41" s="369"/>
      <c r="H41" s="366"/>
      <c r="I41" s="274"/>
      <c r="J41" s="366"/>
      <c r="K41" s="274"/>
      <c r="L41" s="366"/>
      <c r="M41" s="274"/>
      <c r="N41" s="366"/>
      <c r="O41" s="274"/>
      <c r="P41" s="366"/>
      <c r="Q41" s="274"/>
      <c r="R41" s="366"/>
      <c r="S41" s="274"/>
      <c r="T41" s="366"/>
      <c r="U41" s="274"/>
      <c r="V41" s="366"/>
      <c r="W41" s="274"/>
      <c r="X41" s="366"/>
      <c r="Y41" s="274"/>
      <c r="Z41" s="366"/>
      <c r="AA41" s="274"/>
      <c r="AB41" s="366"/>
      <c r="AC41" s="274"/>
      <c r="AD41" s="366"/>
    </row>
    <row r="42" spans="1:30" ht="15.75" thickBot="1" x14ac:dyDescent="0.3">
      <c r="A42" s="369"/>
      <c r="B42" s="369"/>
      <c r="C42" s="369"/>
      <c r="D42" s="369"/>
      <c r="E42" s="369" t="s">
        <v>234</v>
      </c>
      <c r="F42" s="369"/>
      <c r="G42" s="369"/>
      <c r="H42" s="275">
        <v>11363.59</v>
      </c>
      <c r="I42" s="274"/>
      <c r="J42" s="275">
        <v>-3665.46</v>
      </c>
      <c r="K42" s="274"/>
      <c r="L42" s="275">
        <v>8556.7199999999993</v>
      </c>
      <c r="M42" s="274"/>
      <c r="N42" s="275">
        <v>-2260.73</v>
      </c>
      <c r="O42" s="274"/>
      <c r="P42" s="275">
        <v>-12557.06</v>
      </c>
      <c r="Q42" s="274"/>
      <c r="R42" s="275">
        <v>4715.93</v>
      </c>
      <c r="S42" s="274"/>
      <c r="T42" s="275">
        <v>7523.25</v>
      </c>
      <c r="U42" s="274"/>
      <c r="V42" s="275">
        <v>2218.27</v>
      </c>
      <c r="W42" s="274"/>
      <c r="X42" s="275">
        <v>6740.08</v>
      </c>
      <c r="Y42" s="274"/>
      <c r="Z42" s="275">
        <v>12855.33</v>
      </c>
      <c r="AA42" s="274"/>
      <c r="AB42" s="275">
        <v>2752.93</v>
      </c>
      <c r="AC42" s="274"/>
      <c r="AD42" s="275">
        <v>17495.919999999998</v>
      </c>
    </row>
    <row r="43" spans="1:30" x14ac:dyDescent="0.25">
      <c r="A43" s="369"/>
      <c r="B43" s="369"/>
      <c r="C43" s="369"/>
      <c r="D43" s="369" t="s">
        <v>235</v>
      </c>
      <c r="E43" s="369"/>
      <c r="F43" s="369"/>
      <c r="G43" s="369"/>
      <c r="H43" s="366">
        <f>ROUND(SUM(H41:H42),5)</f>
        <v>11363.59</v>
      </c>
      <c r="I43" s="274"/>
      <c r="J43" s="366">
        <f>ROUND(SUM(J41:J42),5)</f>
        <v>-3665.46</v>
      </c>
      <c r="K43" s="274"/>
      <c r="L43" s="366">
        <f>ROUND(SUM(L41:L42),5)</f>
        <v>8556.7199999999993</v>
      </c>
      <c r="M43" s="274"/>
      <c r="N43" s="366">
        <f>ROUND(SUM(N41:N42),5)</f>
        <v>-2260.73</v>
      </c>
      <c r="O43" s="274"/>
      <c r="P43" s="366">
        <f>ROUND(SUM(P41:P42),5)</f>
        <v>-12557.06</v>
      </c>
      <c r="Q43" s="274"/>
      <c r="R43" s="366">
        <f>ROUND(SUM(R41:R42),5)</f>
        <v>4715.93</v>
      </c>
      <c r="S43" s="274"/>
      <c r="T43" s="366">
        <f>ROUND(SUM(T41:T42),5)</f>
        <v>7523.25</v>
      </c>
      <c r="U43" s="274"/>
      <c r="V43" s="366">
        <f>ROUND(SUM(V41:V42),5)</f>
        <v>2218.27</v>
      </c>
      <c r="W43" s="274"/>
      <c r="X43" s="366">
        <f>ROUND(SUM(X41:X42),5)</f>
        <v>6740.08</v>
      </c>
      <c r="Y43" s="274"/>
      <c r="Z43" s="366">
        <f>ROUND(SUM(Z41:Z42),5)</f>
        <v>12855.33</v>
      </c>
      <c r="AA43" s="274"/>
      <c r="AB43" s="366">
        <f>ROUND(SUM(AB41:AB42),5)</f>
        <v>2752.93</v>
      </c>
      <c r="AC43" s="274"/>
      <c r="AD43" s="366">
        <f>ROUND(SUM(AD41:AD42),5)</f>
        <v>17495.919999999998</v>
      </c>
    </row>
    <row r="44" spans="1:30" x14ac:dyDescent="0.25">
      <c r="A44" s="369"/>
      <c r="B44" s="369"/>
      <c r="C44" s="369"/>
      <c r="D44" s="369" t="s">
        <v>236</v>
      </c>
      <c r="E44" s="369"/>
      <c r="F44" s="369"/>
      <c r="G44" s="369"/>
      <c r="H44" s="366"/>
      <c r="I44" s="274"/>
      <c r="J44" s="366"/>
      <c r="K44" s="274"/>
      <c r="L44" s="366"/>
      <c r="M44" s="274"/>
      <c r="N44" s="366"/>
      <c r="O44" s="274"/>
      <c r="P44" s="366"/>
      <c r="Q44" s="274"/>
      <c r="R44" s="366"/>
      <c r="S44" s="274"/>
      <c r="T44" s="366"/>
      <c r="U44" s="274"/>
      <c r="V44" s="366"/>
      <c r="W44" s="274"/>
      <c r="X44" s="366"/>
      <c r="Y44" s="274"/>
      <c r="Z44" s="366"/>
      <c r="AA44" s="274"/>
      <c r="AB44" s="366"/>
      <c r="AC44" s="274"/>
      <c r="AD44" s="366"/>
    </row>
    <row r="45" spans="1:30" x14ac:dyDescent="0.25">
      <c r="A45" s="369"/>
      <c r="B45" s="369"/>
      <c r="C45" s="369"/>
      <c r="D45" s="369"/>
      <c r="E45" s="369" t="s">
        <v>237</v>
      </c>
      <c r="F45" s="369"/>
      <c r="G45" s="369"/>
      <c r="H45" s="366"/>
      <c r="I45" s="274"/>
      <c r="J45" s="366"/>
      <c r="K45" s="274"/>
      <c r="L45" s="366"/>
      <c r="M45" s="274"/>
      <c r="N45" s="366"/>
      <c r="O45" s="274"/>
      <c r="P45" s="366"/>
      <c r="Q45" s="274"/>
      <c r="R45" s="366"/>
      <c r="S45" s="274"/>
      <c r="T45" s="366"/>
      <c r="U45" s="274"/>
      <c r="V45" s="366"/>
      <c r="W45" s="274"/>
      <c r="X45" s="366"/>
      <c r="Y45" s="274"/>
      <c r="Z45" s="366"/>
      <c r="AA45" s="274"/>
      <c r="AB45" s="366"/>
      <c r="AC45" s="274"/>
      <c r="AD45" s="366"/>
    </row>
    <row r="46" spans="1:30" x14ac:dyDescent="0.25">
      <c r="A46" s="369"/>
      <c r="B46" s="369"/>
      <c r="C46" s="369"/>
      <c r="D46" s="369"/>
      <c r="E46" s="369"/>
      <c r="F46" s="369" t="s">
        <v>238</v>
      </c>
      <c r="G46" s="369"/>
      <c r="H46" s="366"/>
      <c r="I46" s="274"/>
      <c r="J46" s="366"/>
      <c r="K46" s="274"/>
      <c r="L46" s="366"/>
      <c r="M46" s="274"/>
      <c r="N46" s="366"/>
      <c r="O46" s="274"/>
      <c r="P46" s="366"/>
      <c r="Q46" s="274"/>
      <c r="R46" s="366"/>
      <c r="S46" s="274"/>
      <c r="T46" s="366"/>
      <c r="U46" s="274"/>
      <c r="V46" s="366"/>
      <c r="W46" s="274"/>
      <c r="X46" s="366"/>
      <c r="Y46" s="274"/>
      <c r="Z46" s="366"/>
      <c r="AA46" s="274"/>
      <c r="AB46" s="366"/>
      <c r="AC46" s="274"/>
      <c r="AD46" s="366"/>
    </row>
    <row r="47" spans="1:30" x14ac:dyDescent="0.25">
      <c r="A47" s="369"/>
      <c r="B47" s="369"/>
      <c r="C47" s="369"/>
      <c r="D47" s="369"/>
      <c r="E47" s="369"/>
      <c r="F47" s="369"/>
      <c r="G47" s="369" t="s">
        <v>239</v>
      </c>
      <c r="H47" s="366">
        <v>172.65</v>
      </c>
      <c r="I47" s="274"/>
      <c r="J47" s="366">
        <v>0</v>
      </c>
      <c r="K47" s="274"/>
      <c r="L47" s="366">
        <v>0</v>
      </c>
      <c r="M47" s="274"/>
      <c r="N47" s="366">
        <v>368.99</v>
      </c>
      <c r="O47" s="274"/>
      <c r="P47" s="366">
        <v>0</v>
      </c>
      <c r="Q47" s="274"/>
      <c r="R47" s="366">
        <v>0</v>
      </c>
      <c r="S47" s="274"/>
      <c r="T47" s="366">
        <v>0</v>
      </c>
      <c r="U47" s="274"/>
      <c r="V47" s="366">
        <v>0</v>
      </c>
      <c r="W47" s="274"/>
      <c r="X47" s="366">
        <v>100</v>
      </c>
      <c r="Y47" s="274"/>
      <c r="Z47" s="366">
        <v>0</v>
      </c>
      <c r="AA47" s="274"/>
      <c r="AB47" s="366">
        <v>0</v>
      </c>
      <c r="AC47" s="274"/>
      <c r="AD47" s="366">
        <v>0</v>
      </c>
    </row>
    <row r="48" spans="1:30" x14ac:dyDescent="0.25">
      <c r="A48" s="369"/>
      <c r="B48" s="369"/>
      <c r="C48" s="369"/>
      <c r="D48" s="369"/>
      <c r="E48" s="369"/>
      <c r="F48" s="369"/>
      <c r="G48" s="369" t="s">
        <v>240</v>
      </c>
      <c r="H48" s="366">
        <v>0</v>
      </c>
      <c r="I48" s="274"/>
      <c r="J48" s="366">
        <v>0</v>
      </c>
      <c r="K48" s="274"/>
      <c r="L48" s="366">
        <v>0</v>
      </c>
      <c r="M48" s="274"/>
      <c r="N48" s="366">
        <v>6919.02</v>
      </c>
      <c r="O48" s="274"/>
      <c r="P48" s="366">
        <v>175.01</v>
      </c>
      <c r="Q48" s="274"/>
      <c r="R48" s="366">
        <v>-980</v>
      </c>
      <c r="S48" s="274"/>
      <c r="T48" s="366">
        <v>-1122.69</v>
      </c>
      <c r="U48" s="274"/>
      <c r="V48" s="366">
        <v>-1230.23</v>
      </c>
      <c r="W48" s="274"/>
      <c r="X48" s="366">
        <v>112.99</v>
      </c>
      <c r="Y48" s="274"/>
      <c r="Z48" s="366">
        <v>12.99</v>
      </c>
      <c r="AA48" s="274"/>
      <c r="AB48" s="366">
        <v>632.99</v>
      </c>
      <c r="AC48" s="274"/>
      <c r="AD48" s="366">
        <v>1473.42</v>
      </c>
    </row>
    <row r="49" spans="1:30" x14ac:dyDescent="0.25">
      <c r="A49" s="369"/>
      <c r="B49" s="369"/>
      <c r="C49" s="369"/>
      <c r="D49" s="369"/>
      <c r="E49" s="369"/>
      <c r="F49" s="369"/>
      <c r="G49" s="369" t="s">
        <v>241</v>
      </c>
      <c r="H49" s="366">
        <v>1084.26</v>
      </c>
      <c r="I49" s="274"/>
      <c r="J49" s="366">
        <v>1143.1300000000001</v>
      </c>
      <c r="K49" s="274"/>
      <c r="L49" s="366">
        <v>1136.5899999999999</v>
      </c>
      <c r="M49" s="274"/>
      <c r="N49" s="366">
        <v>1658.16</v>
      </c>
      <c r="O49" s="274"/>
      <c r="P49" s="366">
        <v>1334.68</v>
      </c>
      <c r="Q49" s="274"/>
      <c r="R49" s="366">
        <v>2201.09</v>
      </c>
      <c r="S49" s="274"/>
      <c r="T49" s="366">
        <v>2421.9899999999998</v>
      </c>
      <c r="U49" s="274"/>
      <c r="V49" s="366">
        <v>1838.62</v>
      </c>
      <c r="W49" s="274"/>
      <c r="X49" s="366">
        <v>705.14</v>
      </c>
      <c r="Y49" s="274"/>
      <c r="Z49" s="366">
        <v>337.17</v>
      </c>
      <c r="AA49" s="274"/>
      <c r="AB49" s="366">
        <v>734.81</v>
      </c>
      <c r="AC49" s="274"/>
      <c r="AD49" s="366">
        <v>1990.79</v>
      </c>
    </row>
    <row r="50" spans="1:30" ht="15.75" thickBot="1" x14ac:dyDescent="0.3">
      <c r="A50" s="369"/>
      <c r="B50" s="369"/>
      <c r="C50" s="369"/>
      <c r="D50" s="369"/>
      <c r="E50" s="369"/>
      <c r="F50" s="369"/>
      <c r="G50" s="369" t="s">
        <v>242</v>
      </c>
      <c r="H50" s="365">
        <v>1918.15</v>
      </c>
      <c r="I50" s="274"/>
      <c r="J50" s="365">
        <v>1754.84</v>
      </c>
      <c r="K50" s="274"/>
      <c r="L50" s="365">
        <v>9.99</v>
      </c>
      <c r="M50" s="274"/>
      <c r="N50" s="365">
        <v>0</v>
      </c>
      <c r="O50" s="274"/>
      <c r="P50" s="365">
        <v>0</v>
      </c>
      <c r="Q50" s="274"/>
      <c r="R50" s="365">
        <v>0</v>
      </c>
      <c r="S50" s="274"/>
      <c r="T50" s="365">
        <v>0</v>
      </c>
      <c r="U50" s="274"/>
      <c r="V50" s="365">
        <v>0</v>
      </c>
      <c r="W50" s="274"/>
      <c r="X50" s="365">
        <v>0</v>
      </c>
      <c r="Y50" s="274"/>
      <c r="Z50" s="365">
        <v>0</v>
      </c>
      <c r="AA50" s="274"/>
      <c r="AB50" s="365">
        <v>0</v>
      </c>
      <c r="AC50" s="274"/>
      <c r="AD50" s="365">
        <v>0</v>
      </c>
    </row>
    <row r="51" spans="1:30" ht="15.75" thickBot="1" x14ac:dyDescent="0.3">
      <c r="A51" s="369"/>
      <c r="B51" s="369"/>
      <c r="C51" s="369"/>
      <c r="D51" s="369"/>
      <c r="E51" s="369"/>
      <c r="F51" s="369" t="s">
        <v>243</v>
      </c>
      <c r="G51" s="369"/>
      <c r="H51" s="277">
        <f>ROUND(SUM(H46:H50),5)</f>
        <v>3175.06</v>
      </c>
      <c r="I51" s="274"/>
      <c r="J51" s="277">
        <f>ROUND(SUM(J46:J50),5)</f>
        <v>2897.97</v>
      </c>
      <c r="K51" s="274"/>
      <c r="L51" s="277">
        <f>ROUND(SUM(L46:L50),5)</f>
        <v>1146.58</v>
      </c>
      <c r="M51" s="274"/>
      <c r="N51" s="277">
        <f>ROUND(SUM(N46:N50),5)</f>
        <v>8946.17</v>
      </c>
      <c r="O51" s="274"/>
      <c r="P51" s="277">
        <f>ROUND(SUM(P46:P50),5)</f>
        <v>1509.69</v>
      </c>
      <c r="Q51" s="274"/>
      <c r="R51" s="277">
        <f>ROUND(SUM(R46:R50),5)</f>
        <v>1221.0899999999999</v>
      </c>
      <c r="S51" s="274"/>
      <c r="T51" s="277">
        <f>ROUND(SUM(T46:T50),5)</f>
        <v>1299.3</v>
      </c>
      <c r="U51" s="274"/>
      <c r="V51" s="277">
        <f>ROUND(SUM(V46:V50),5)</f>
        <v>608.39</v>
      </c>
      <c r="W51" s="274"/>
      <c r="X51" s="277">
        <f>ROUND(SUM(X46:X50),5)</f>
        <v>918.13</v>
      </c>
      <c r="Y51" s="274"/>
      <c r="Z51" s="277">
        <f>ROUND(SUM(Z46:Z50),5)</f>
        <v>350.16</v>
      </c>
      <c r="AA51" s="274"/>
      <c r="AB51" s="277">
        <f>ROUND(SUM(AB46:AB50),5)</f>
        <v>1367.8</v>
      </c>
      <c r="AC51" s="274"/>
      <c r="AD51" s="277">
        <f>ROUND(SUM(AD46:AD50),5)</f>
        <v>3464.21</v>
      </c>
    </row>
    <row r="52" spans="1:30" ht="15.75" thickBot="1" x14ac:dyDescent="0.3">
      <c r="A52" s="369"/>
      <c r="B52" s="369"/>
      <c r="C52" s="369"/>
      <c r="D52" s="369"/>
      <c r="E52" s="369" t="s">
        <v>244</v>
      </c>
      <c r="F52" s="369"/>
      <c r="G52" s="369"/>
      <c r="H52" s="276">
        <f>ROUND(H45+H51,5)</f>
        <v>3175.06</v>
      </c>
      <c r="I52" s="274"/>
      <c r="J52" s="276">
        <f>ROUND(J45+J51,5)</f>
        <v>2897.97</v>
      </c>
      <c r="K52" s="274"/>
      <c r="L52" s="276">
        <f>ROUND(L45+L51,5)</f>
        <v>1146.58</v>
      </c>
      <c r="M52" s="274"/>
      <c r="N52" s="276">
        <f>ROUND(N45+N51,5)</f>
        <v>8946.17</v>
      </c>
      <c r="O52" s="274"/>
      <c r="P52" s="276">
        <f>ROUND(P45+P51,5)</f>
        <v>1509.69</v>
      </c>
      <c r="Q52" s="274"/>
      <c r="R52" s="276">
        <f>ROUND(R45+R51,5)</f>
        <v>1221.0899999999999</v>
      </c>
      <c r="S52" s="274"/>
      <c r="T52" s="276">
        <f>ROUND(T45+T51,5)</f>
        <v>1299.3</v>
      </c>
      <c r="U52" s="274"/>
      <c r="V52" s="276">
        <f>ROUND(V45+V51,5)</f>
        <v>608.39</v>
      </c>
      <c r="W52" s="274"/>
      <c r="X52" s="276">
        <f>ROUND(X45+X51,5)</f>
        <v>918.13</v>
      </c>
      <c r="Y52" s="274"/>
      <c r="Z52" s="276">
        <f>ROUND(Z45+Z51,5)</f>
        <v>350.16</v>
      </c>
      <c r="AA52" s="274"/>
      <c r="AB52" s="276">
        <f>ROUND(AB45+AB51,5)</f>
        <v>1367.8</v>
      </c>
      <c r="AC52" s="274"/>
      <c r="AD52" s="276">
        <f>ROUND(AD45+AD51,5)</f>
        <v>3464.21</v>
      </c>
    </row>
    <row r="53" spans="1:30" x14ac:dyDescent="0.25">
      <c r="A53" s="369"/>
      <c r="B53" s="369"/>
      <c r="C53" s="369"/>
      <c r="D53" s="369" t="s">
        <v>245</v>
      </c>
      <c r="E53" s="369"/>
      <c r="F53" s="369"/>
      <c r="G53" s="369"/>
      <c r="H53" s="366">
        <f>ROUND(H44+H52,5)</f>
        <v>3175.06</v>
      </c>
      <c r="I53" s="274"/>
      <c r="J53" s="366">
        <f>ROUND(J44+J52,5)</f>
        <v>2897.97</v>
      </c>
      <c r="K53" s="274"/>
      <c r="L53" s="366">
        <f>ROUND(L44+L52,5)</f>
        <v>1146.58</v>
      </c>
      <c r="M53" s="274"/>
      <c r="N53" s="366">
        <f>ROUND(N44+N52,5)</f>
        <v>8946.17</v>
      </c>
      <c r="O53" s="274"/>
      <c r="P53" s="366">
        <f>ROUND(P44+P52,5)</f>
        <v>1509.69</v>
      </c>
      <c r="Q53" s="274"/>
      <c r="R53" s="366">
        <f>ROUND(R44+R52,5)</f>
        <v>1221.0899999999999</v>
      </c>
      <c r="S53" s="274"/>
      <c r="T53" s="366">
        <f>ROUND(T44+T52,5)</f>
        <v>1299.3</v>
      </c>
      <c r="U53" s="274"/>
      <c r="V53" s="366">
        <f>ROUND(V44+V52,5)</f>
        <v>608.39</v>
      </c>
      <c r="W53" s="274"/>
      <c r="X53" s="366">
        <f>ROUND(X44+X52,5)</f>
        <v>918.13</v>
      </c>
      <c r="Y53" s="274"/>
      <c r="Z53" s="366">
        <f>ROUND(Z44+Z52,5)</f>
        <v>350.16</v>
      </c>
      <c r="AA53" s="274"/>
      <c r="AB53" s="366">
        <f>ROUND(AB44+AB52,5)</f>
        <v>1367.8</v>
      </c>
      <c r="AC53" s="274"/>
      <c r="AD53" s="366">
        <f>ROUND(AD44+AD52,5)</f>
        <v>3464.21</v>
      </c>
    </row>
    <row r="54" spans="1:30" x14ac:dyDescent="0.25">
      <c r="A54" s="369"/>
      <c r="B54" s="369"/>
      <c r="C54" s="369"/>
      <c r="D54" s="369" t="s">
        <v>246</v>
      </c>
      <c r="E54" s="369"/>
      <c r="F54" s="369"/>
      <c r="G54" s="369"/>
      <c r="H54" s="366"/>
      <c r="I54" s="274"/>
      <c r="J54" s="366"/>
      <c r="K54" s="274"/>
      <c r="L54" s="366"/>
      <c r="M54" s="274"/>
      <c r="N54" s="366"/>
      <c r="O54" s="274"/>
      <c r="P54" s="366"/>
      <c r="Q54" s="274"/>
      <c r="R54" s="366"/>
      <c r="S54" s="274"/>
      <c r="T54" s="366"/>
      <c r="U54" s="274"/>
      <c r="V54" s="366"/>
      <c r="W54" s="274"/>
      <c r="X54" s="366"/>
      <c r="Y54" s="274"/>
      <c r="Z54" s="366"/>
      <c r="AA54" s="274"/>
      <c r="AB54" s="366"/>
      <c r="AC54" s="274"/>
      <c r="AD54" s="366"/>
    </row>
    <row r="55" spans="1:30" x14ac:dyDescent="0.25">
      <c r="A55" s="369"/>
      <c r="B55" s="369"/>
      <c r="C55" s="369"/>
      <c r="D55" s="369"/>
      <c r="E55" s="369" t="s">
        <v>247</v>
      </c>
      <c r="F55" s="369"/>
      <c r="G55" s="369"/>
      <c r="H55" s="366"/>
      <c r="I55" s="274"/>
      <c r="J55" s="366"/>
      <c r="K55" s="274"/>
      <c r="L55" s="366"/>
      <c r="M55" s="274"/>
      <c r="N55" s="366"/>
      <c r="O55" s="274"/>
      <c r="P55" s="366"/>
      <c r="Q55" s="274"/>
      <c r="R55" s="366"/>
      <c r="S55" s="274"/>
      <c r="T55" s="366"/>
      <c r="U55" s="274"/>
      <c r="V55" s="366"/>
      <c r="W55" s="274"/>
      <c r="X55" s="366"/>
      <c r="Y55" s="274"/>
      <c r="Z55" s="366"/>
      <c r="AA55" s="274"/>
      <c r="AB55" s="366"/>
      <c r="AC55" s="274"/>
      <c r="AD55" s="366"/>
    </row>
    <row r="56" spans="1:30" x14ac:dyDescent="0.25">
      <c r="A56" s="369"/>
      <c r="B56" s="369"/>
      <c r="C56" s="369"/>
      <c r="D56" s="369"/>
      <c r="E56" s="369"/>
      <c r="F56" s="369" t="s">
        <v>248</v>
      </c>
      <c r="G56" s="369"/>
      <c r="H56" s="366">
        <v>1016.98</v>
      </c>
      <c r="I56" s="274"/>
      <c r="J56" s="366">
        <v>1011.98</v>
      </c>
      <c r="K56" s="274"/>
      <c r="L56" s="366">
        <v>1039.74</v>
      </c>
      <c r="M56" s="274"/>
      <c r="N56" s="366">
        <v>1654.74</v>
      </c>
      <c r="O56" s="274"/>
      <c r="P56" s="366">
        <v>1904.74</v>
      </c>
      <c r="Q56" s="274"/>
      <c r="R56" s="366">
        <v>2034.74</v>
      </c>
      <c r="S56" s="274"/>
      <c r="T56" s="366">
        <v>1375.76</v>
      </c>
      <c r="U56" s="274"/>
      <c r="V56" s="366">
        <v>1400.76</v>
      </c>
      <c r="W56" s="274"/>
      <c r="X56" s="366">
        <v>1428.78</v>
      </c>
      <c r="Y56" s="274"/>
      <c r="Z56" s="366">
        <v>1853.78</v>
      </c>
      <c r="AA56" s="274"/>
      <c r="AB56" s="366">
        <v>1969.94</v>
      </c>
      <c r="AC56" s="274"/>
      <c r="AD56" s="366">
        <v>2144.94</v>
      </c>
    </row>
    <row r="57" spans="1:30" x14ac:dyDescent="0.25">
      <c r="A57" s="369"/>
      <c r="B57" s="369"/>
      <c r="C57" s="369"/>
      <c r="D57" s="369"/>
      <c r="E57" s="369"/>
      <c r="F57" s="369" t="s">
        <v>249</v>
      </c>
      <c r="G57" s="369"/>
      <c r="H57" s="366">
        <v>930</v>
      </c>
      <c r="I57" s="274"/>
      <c r="J57" s="366">
        <v>930</v>
      </c>
      <c r="K57" s="274"/>
      <c r="L57" s="366">
        <v>1020</v>
      </c>
      <c r="M57" s="274"/>
      <c r="N57" s="366">
        <v>1020</v>
      </c>
      <c r="O57" s="274"/>
      <c r="P57" s="366">
        <v>1020</v>
      </c>
      <c r="Q57" s="274"/>
      <c r="R57" s="366">
        <v>1020</v>
      </c>
      <c r="S57" s="274"/>
      <c r="T57" s="366">
        <v>1020</v>
      </c>
      <c r="U57" s="274"/>
      <c r="V57" s="366">
        <v>1020</v>
      </c>
      <c r="W57" s="274"/>
      <c r="X57" s="366">
        <v>1020</v>
      </c>
      <c r="Y57" s="274"/>
      <c r="Z57" s="366">
        <v>1020</v>
      </c>
      <c r="AA57" s="274"/>
      <c r="AB57" s="366">
        <v>1020</v>
      </c>
      <c r="AC57" s="274"/>
      <c r="AD57" s="366">
        <v>1040</v>
      </c>
    </row>
    <row r="58" spans="1:30" x14ac:dyDescent="0.25">
      <c r="A58" s="369"/>
      <c r="B58" s="369"/>
      <c r="C58" s="369"/>
      <c r="D58" s="369"/>
      <c r="E58" s="369"/>
      <c r="F58" s="369" t="s">
        <v>250</v>
      </c>
      <c r="G58" s="369"/>
      <c r="H58" s="366">
        <v>1105</v>
      </c>
      <c r="I58" s="274"/>
      <c r="J58" s="366">
        <v>1285</v>
      </c>
      <c r="K58" s="274"/>
      <c r="L58" s="366">
        <v>1411.85</v>
      </c>
      <c r="M58" s="274"/>
      <c r="N58" s="366">
        <v>1681.85</v>
      </c>
      <c r="O58" s="274"/>
      <c r="P58" s="366">
        <v>1733.1</v>
      </c>
      <c r="Q58" s="274"/>
      <c r="R58" s="366">
        <v>1793.1</v>
      </c>
      <c r="S58" s="274"/>
      <c r="T58" s="366">
        <v>1793.1</v>
      </c>
      <c r="U58" s="274"/>
      <c r="V58" s="366">
        <v>1833.1</v>
      </c>
      <c r="W58" s="274"/>
      <c r="X58" s="366">
        <v>2618.1</v>
      </c>
      <c r="Y58" s="274"/>
      <c r="Z58" s="366">
        <v>2769.72</v>
      </c>
      <c r="AA58" s="274"/>
      <c r="AB58" s="366">
        <v>2874.72</v>
      </c>
      <c r="AC58" s="274"/>
      <c r="AD58" s="366">
        <v>2945.22</v>
      </c>
    </row>
    <row r="59" spans="1:30" ht="15.75" thickBot="1" x14ac:dyDescent="0.3">
      <c r="A59" s="369"/>
      <c r="B59" s="369"/>
      <c r="C59" s="369"/>
      <c r="D59" s="369"/>
      <c r="E59" s="369"/>
      <c r="F59" s="369" t="s">
        <v>251</v>
      </c>
      <c r="G59" s="369"/>
      <c r="H59" s="275">
        <v>0</v>
      </c>
      <c r="I59" s="274"/>
      <c r="J59" s="275">
        <v>0</v>
      </c>
      <c r="K59" s="274"/>
      <c r="L59" s="275">
        <v>0</v>
      </c>
      <c r="M59" s="274"/>
      <c r="N59" s="275">
        <v>0</v>
      </c>
      <c r="O59" s="274"/>
      <c r="P59" s="275">
        <v>25</v>
      </c>
      <c r="Q59" s="274"/>
      <c r="R59" s="275">
        <v>25</v>
      </c>
      <c r="S59" s="274"/>
      <c r="T59" s="275">
        <v>25</v>
      </c>
      <c r="U59" s="274"/>
      <c r="V59" s="275">
        <v>0</v>
      </c>
      <c r="W59" s="274"/>
      <c r="X59" s="275">
        <v>0</v>
      </c>
      <c r="Y59" s="274"/>
      <c r="Z59" s="275">
        <v>0</v>
      </c>
      <c r="AA59" s="274"/>
      <c r="AB59" s="275">
        <v>0</v>
      </c>
      <c r="AC59" s="274"/>
      <c r="AD59" s="275">
        <v>0</v>
      </c>
    </row>
    <row r="60" spans="1:30" x14ac:dyDescent="0.25">
      <c r="A60" s="369"/>
      <c r="B60" s="369"/>
      <c r="C60" s="369"/>
      <c r="D60" s="369"/>
      <c r="E60" s="369" t="s">
        <v>252</v>
      </c>
      <c r="F60" s="369"/>
      <c r="G60" s="369"/>
      <c r="H60" s="366">
        <f>ROUND(SUM(H55:H59),5)</f>
        <v>3051.98</v>
      </c>
      <c r="I60" s="274"/>
      <c r="J60" s="366">
        <f>ROUND(SUM(J55:J59),5)</f>
        <v>3226.98</v>
      </c>
      <c r="K60" s="274"/>
      <c r="L60" s="366">
        <f>ROUND(SUM(L55:L59),5)</f>
        <v>3471.59</v>
      </c>
      <c r="M60" s="274"/>
      <c r="N60" s="366">
        <f>ROUND(SUM(N55:N59),5)</f>
        <v>4356.59</v>
      </c>
      <c r="O60" s="274"/>
      <c r="P60" s="366">
        <f>ROUND(SUM(P55:P59),5)</f>
        <v>4682.84</v>
      </c>
      <c r="Q60" s="274"/>
      <c r="R60" s="366">
        <f>ROUND(SUM(R55:R59),5)</f>
        <v>4872.84</v>
      </c>
      <c r="S60" s="274"/>
      <c r="T60" s="366">
        <f>ROUND(SUM(T55:T59),5)</f>
        <v>4213.8599999999997</v>
      </c>
      <c r="U60" s="274"/>
      <c r="V60" s="366">
        <f>ROUND(SUM(V55:V59),5)</f>
        <v>4253.8599999999997</v>
      </c>
      <c r="W60" s="274"/>
      <c r="X60" s="366">
        <f>ROUND(SUM(X55:X59),5)</f>
        <v>5066.88</v>
      </c>
      <c r="Y60" s="274"/>
      <c r="Z60" s="366">
        <f>ROUND(SUM(Z55:Z59),5)</f>
        <v>5643.5</v>
      </c>
      <c r="AA60" s="274"/>
      <c r="AB60" s="366">
        <f>ROUND(SUM(AB55:AB59),5)</f>
        <v>5864.66</v>
      </c>
      <c r="AC60" s="274"/>
      <c r="AD60" s="366">
        <f>ROUND(SUM(AD55:AD59),5)</f>
        <v>6130.16</v>
      </c>
    </row>
    <row r="61" spans="1:30" x14ac:dyDescent="0.25">
      <c r="A61" s="369"/>
      <c r="B61" s="369"/>
      <c r="C61" s="369"/>
      <c r="D61" s="369"/>
      <c r="E61" s="369" t="s">
        <v>253</v>
      </c>
      <c r="F61" s="369"/>
      <c r="G61" s="369"/>
      <c r="H61" s="366"/>
      <c r="I61" s="274"/>
      <c r="J61" s="366"/>
      <c r="K61" s="274"/>
      <c r="L61" s="366"/>
      <c r="M61" s="274"/>
      <c r="N61" s="366"/>
      <c r="O61" s="274"/>
      <c r="P61" s="366"/>
      <c r="Q61" s="274"/>
      <c r="R61" s="366"/>
      <c r="S61" s="274"/>
      <c r="T61" s="366"/>
      <c r="U61" s="274"/>
      <c r="V61" s="366"/>
      <c r="W61" s="274"/>
      <c r="X61" s="366"/>
      <c r="Y61" s="274"/>
      <c r="Z61" s="366"/>
      <c r="AA61" s="274"/>
      <c r="AB61" s="366"/>
      <c r="AC61" s="274"/>
      <c r="AD61" s="366"/>
    </row>
    <row r="62" spans="1:30" x14ac:dyDescent="0.25">
      <c r="A62" s="369"/>
      <c r="B62" s="369"/>
      <c r="C62" s="369"/>
      <c r="D62" s="369"/>
      <c r="E62" s="369"/>
      <c r="F62" s="369" t="s">
        <v>254</v>
      </c>
      <c r="G62" s="369"/>
      <c r="H62" s="366">
        <v>0</v>
      </c>
      <c r="I62" s="274"/>
      <c r="J62" s="366">
        <v>0</v>
      </c>
      <c r="K62" s="274"/>
      <c r="L62" s="366">
        <v>25</v>
      </c>
      <c r="M62" s="274"/>
      <c r="N62" s="366">
        <v>25</v>
      </c>
      <c r="O62" s="274"/>
      <c r="P62" s="366">
        <v>25</v>
      </c>
      <c r="Q62" s="274"/>
      <c r="R62" s="366">
        <v>0</v>
      </c>
      <c r="S62" s="274"/>
      <c r="T62" s="366">
        <v>-37.5</v>
      </c>
      <c r="U62" s="274"/>
      <c r="V62" s="366">
        <v>0</v>
      </c>
      <c r="W62" s="274"/>
      <c r="X62" s="366">
        <v>0</v>
      </c>
      <c r="Y62" s="274"/>
      <c r="Z62" s="366">
        <v>0</v>
      </c>
      <c r="AA62" s="274"/>
      <c r="AB62" s="366">
        <v>0</v>
      </c>
      <c r="AC62" s="274"/>
      <c r="AD62" s="366">
        <v>0</v>
      </c>
    </row>
    <row r="63" spans="1:30" ht="15.75" thickBot="1" x14ac:dyDescent="0.3">
      <c r="A63" s="369"/>
      <c r="B63" s="369"/>
      <c r="C63" s="369"/>
      <c r="D63" s="369"/>
      <c r="E63" s="369"/>
      <c r="F63" s="369" t="s">
        <v>255</v>
      </c>
      <c r="G63" s="369"/>
      <c r="H63" s="275">
        <v>9123.02</v>
      </c>
      <c r="I63" s="274"/>
      <c r="J63" s="275">
        <v>9967.51</v>
      </c>
      <c r="K63" s="274"/>
      <c r="L63" s="275">
        <v>10886.04</v>
      </c>
      <c r="M63" s="274"/>
      <c r="N63" s="275">
        <v>14050.64</v>
      </c>
      <c r="O63" s="274"/>
      <c r="P63" s="275">
        <v>14254.41</v>
      </c>
      <c r="Q63" s="274"/>
      <c r="R63" s="275">
        <v>15516.44</v>
      </c>
      <c r="S63" s="274"/>
      <c r="T63" s="275">
        <v>11822</v>
      </c>
      <c r="U63" s="274"/>
      <c r="V63" s="275">
        <v>11592.1</v>
      </c>
      <c r="W63" s="274"/>
      <c r="X63" s="275">
        <v>13332.42</v>
      </c>
      <c r="Y63" s="274"/>
      <c r="Z63" s="275">
        <v>16756.87</v>
      </c>
      <c r="AA63" s="274"/>
      <c r="AB63" s="275">
        <v>13050.16</v>
      </c>
      <c r="AC63" s="274"/>
      <c r="AD63" s="275">
        <v>18749.03</v>
      </c>
    </row>
    <row r="64" spans="1:30" x14ac:dyDescent="0.25">
      <c r="A64" s="369"/>
      <c r="B64" s="369"/>
      <c r="C64" s="369"/>
      <c r="D64" s="369"/>
      <c r="E64" s="369" t="s">
        <v>256</v>
      </c>
      <c r="F64" s="369"/>
      <c r="G64" s="369"/>
      <c r="H64" s="366">
        <f>ROUND(SUM(H61:H63),5)</f>
        <v>9123.02</v>
      </c>
      <c r="I64" s="274"/>
      <c r="J64" s="366">
        <f>ROUND(SUM(J61:J63),5)</f>
        <v>9967.51</v>
      </c>
      <c r="K64" s="274"/>
      <c r="L64" s="366">
        <f>ROUND(SUM(L61:L63),5)</f>
        <v>10911.04</v>
      </c>
      <c r="M64" s="274"/>
      <c r="N64" s="366">
        <f>ROUND(SUM(N61:N63),5)</f>
        <v>14075.64</v>
      </c>
      <c r="O64" s="274"/>
      <c r="P64" s="366">
        <f>ROUND(SUM(P61:P63),5)</f>
        <v>14279.41</v>
      </c>
      <c r="Q64" s="274"/>
      <c r="R64" s="366">
        <f>ROUND(SUM(R61:R63),5)</f>
        <v>15516.44</v>
      </c>
      <c r="S64" s="274"/>
      <c r="T64" s="366">
        <f>ROUND(SUM(T61:T63),5)</f>
        <v>11784.5</v>
      </c>
      <c r="U64" s="274"/>
      <c r="V64" s="366">
        <f>ROUND(SUM(V61:V63),5)</f>
        <v>11592.1</v>
      </c>
      <c r="W64" s="274"/>
      <c r="X64" s="366">
        <f>ROUND(SUM(X61:X63),5)</f>
        <v>13332.42</v>
      </c>
      <c r="Y64" s="274"/>
      <c r="Z64" s="366">
        <f>ROUND(SUM(Z61:Z63),5)</f>
        <v>16756.87</v>
      </c>
      <c r="AA64" s="274"/>
      <c r="AB64" s="366">
        <f>ROUND(SUM(AB61:AB63),5)</f>
        <v>13050.16</v>
      </c>
      <c r="AC64" s="274"/>
      <c r="AD64" s="366">
        <f>ROUND(SUM(AD61:AD63),5)</f>
        <v>18749.03</v>
      </c>
    </row>
    <row r="65" spans="1:30" x14ac:dyDescent="0.25">
      <c r="A65" s="369"/>
      <c r="B65" s="369"/>
      <c r="C65" s="369"/>
      <c r="D65" s="369"/>
      <c r="E65" s="369" t="s">
        <v>257</v>
      </c>
      <c r="F65" s="369"/>
      <c r="G65" s="369"/>
      <c r="H65" s="366">
        <v>2554.0300000000002</v>
      </c>
      <c r="I65" s="274"/>
      <c r="J65" s="366">
        <v>1396.21</v>
      </c>
      <c r="K65" s="274"/>
      <c r="L65" s="366">
        <v>1409.48</v>
      </c>
      <c r="M65" s="274"/>
      <c r="N65" s="366">
        <v>4218.03</v>
      </c>
      <c r="O65" s="274"/>
      <c r="P65" s="366">
        <v>1390.61</v>
      </c>
      <c r="Q65" s="274"/>
      <c r="R65" s="366">
        <v>1410.09</v>
      </c>
      <c r="S65" s="274"/>
      <c r="T65" s="366">
        <v>1078.6500000000001</v>
      </c>
      <c r="U65" s="274"/>
      <c r="V65" s="366">
        <v>1332.63</v>
      </c>
      <c r="W65" s="274"/>
      <c r="X65" s="366">
        <v>1348.54</v>
      </c>
      <c r="Y65" s="274"/>
      <c r="Z65" s="366">
        <v>1365.1</v>
      </c>
      <c r="AA65" s="274"/>
      <c r="AB65" s="366">
        <v>1480.42</v>
      </c>
      <c r="AC65" s="274"/>
      <c r="AD65" s="366">
        <v>1487.59</v>
      </c>
    </row>
    <row r="66" spans="1:30" x14ac:dyDescent="0.25">
      <c r="A66" s="369"/>
      <c r="B66" s="369"/>
      <c r="C66" s="369"/>
      <c r="D66" s="369"/>
      <c r="E66" s="369" t="s">
        <v>258</v>
      </c>
      <c r="F66" s="369"/>
      <c r="G66" s="369"/>
      <c r="H66" s="366">
        <v>45</v>
      </c>
      <c r="I66" s="274"/>
      <c r="J66" s="366">
        <v>90</v>
      </c>
      <c r="K66" s="274"/>
      <c r="L66" s="366">
        <v>1891.53</v>
      </c>
      <c r="M66" s="274"/>
      <c r="N66" s="366">
        <v>3693.05</v>
      </c>
      <c r="O66" s="274"/>
      <c r="P66" s="366">
        <v>5494.57</v>
      </c>
      <c r="Q66" s="274"/>
      <c r="R66" s="366">
        <v>7296.09</v>
      </c>
      <c r="S66" s="274"/>
      <c r="T66" s="366">
        <v>9174.0499999999993</v>
      </c>
      <c r="U66" s="274"/>
      <c r="V66" s="366">
        <v>10847.27</v>
      </c>
      <c r="W66" s="274"/>
      <c r="X66" s="366">
        <v>12590.22</v>
      </c>
      <c r="Y66" s="274"/>
      <c r="Z66" s="366">
        <v>14298.3</v>
      </c>
      <c r="AA66" s="274"/>
      <c r="AB66" s="366">
        <v>16006.38</v>
      </c>
      <c r="AC66" s="274"/>
      <c r="AD66" s="366">
        <v>17714.46</v>
      </c>
    </row>
    <row r="67" spans="1:30" x14ac:dyDescent="0.25">
      <c r="A67" s="369"/>
      <c r="B67" s="369"/>
      <c r="C67" s="369"/>
      <c r="D67" s="369"/>
      <c r="E67" s="369" t="s">
        <v>259</v>
      </c>
      <c r="F67" s="369"/>
      <c r="G67" s="369"/>
      <c r="H67" s="366">
        <v>29.12</v>
      </c>
      <c r="I67" s="274"/>
      <c r="J67" s="366">
        <v>118.03</v>
      </c>
      <c r="K67" s="274"/>
      <c r="L67" s="366">
        <v>437.73</v>
      </c>
      <c r="M67" s="274"/>
      <c r="N67" s="366">
        <v>437.73</v>
      </c>
      <c r="O67" s="274"/>
      <c r="P67" s="366">
        <v>59.1</v>
      </c>
      <c r="Q67" s="274"/>
      <c r="R67" s="366">
        <v>61.31</v>
      </c>
      <c r="S67" s="274"/>
      <c r="T67" s="366">
        <v>-123.69</v>
      </c>
      <c r="U67" s="274"/>
      <c r="V67" s="366">
        <v>-123.69</v>
      </c>
      <c r="W67" s="274"/>
      <c r="X67" s="366">
        <v>3.71</v>
      </c>
      <c r="Y67" s="274"/>
      <c r="Z67" s="366">
        <v>-4.38</v>
      </c>
      <c r="AA67" s="274"/>
      <c r="AB67" s="366">
        <v>0</v>
      </c>
      <c r="AC67" s="274"/>
      <c r="AD67" s="366">
        <v>2.17</v>
      </c>
    </row>
    <row r="68" spans="1:30" ht="15.75" thickBot="1" x14ac:dyDescent="0.3">
      <c r="A68" s="369"/>
      <c r="B68" s="369"/>
      <c r="C68" s="369"/>
      <c r="D68" s="369"/>
      <c r="E68" s="369" t="s">
        <v>433</v>
      </c>
      <c r="F68" s="369"/>
      <c r="G68" s="369"/>
      <c r="H68" s="365">
        <v>0</v>
      </c>
      <c r="I68" s="274"/>
      <c r="J68" s="365">
        <v>0</v>
      </c>
      <c r="K68" s="274"/>
      <c r="L68" s="365">
        <v>0</v>
      </c>
      <c r="M68" s="274"/>
      <c r="N68" s="365">
        <v>0</v>
      </c>
      <c r="O68" s="274"/>
      <c r="P68" s="365">
        <v>0</v>
      </c>
      <c r="Q68" s="274"/>
      <c r="R68" s="365">
        <v>0</v>
      </c>
      <c r="S68" s="274"/>
      <c r="T68" s="365">
        <v>-450</v>
      </c>
      <c r="U68" s="274"/>
      <c r="V68" s="365">
        <v>0</v>
      </c>
      <c r="W68" s="274"/>
      <c r="X68" s="365">
        <v>0</v>
      </c>
      <c r="Y68" s="274"/>
      <c r="Z68" s="365">
        <v>0</v>
      </c>
      <c r="AA68" s="274"/>
      <c r="AB68" s="365">
        <v>0</v>
      </c>
      <c r="AC68" s="274"/>
      <c r="AD68" s="365">
        <v>-12.17</v>
      </c>
    </row>
    <row r="69" spans="1:30" ht="15.75" thickBot="1" x14ac:dyDescent="0.3">
      <c r="A69" s="369"/>
      <c r="B69" s="369"/>
      <c r="C69" s="369"/>
      <c r="D69" s="369" t="s">
        <v>260</v>
      </c>
      <c r="E69" s="369"/>
      <c r="F69" s="369"/>
      <c r="G69" s="369"/>
      <c r="H69" s="276">
        <f>ROUND(H54+H60+SUM(H64:H68),5)</f>
        <v>14803.15</v>
      </c>
      <c r="I69" s="274"/>
      <c r="J69" s="276">
        <f>ROUND(J54+J60+SUM(J64:J68),5)</f>
        <v>14798.73</v>
      </c>
      <c r="K69" s="274"/>
      <c r="L69" s="276">
        <f>ROUND(L54+L60+SUM(L64:L68),5)</f>
        <v>18121.37</v>
      </c>
      <c r="M69" s="274"/>
      <c r="N69" s="276">
        <f>ROUND(N54+N60+SUM(N64:N68),5)</f>
        <v>26781.040000000001</v>
      </c>
      <c r="O69" s="274"/>
      <c r="P69" s="276">
        <f>ROUND(P54+P60+SUM(P64:P68),5)</f>
        <v>25906.53</v>
      </c>
      <c r="Q69" s="274"/>
      <c r="R69" s="276">
        <f>ROUND(R54+R60+SUM(R64:R68),5)</f>
        <v>29156.77</v>
      </c>
      <c r="S69" s="274"/>
      <c r="T69" s="276">
        <f>ROUND(T54+T60+SUM(T64:T68),5)</f>
        <v>25677.37</v>
      </c>
      <c r="U69" s="274"/>
      <c r="V69" s="276">
        <f>ROUND(V54+V60+SUM(V64:V68),5)</f>
        <v>27902.17</v>
      </c>
      <c r="W69" s="274"/>
      <c r="X69" s="276">
        <f>ROUND(X54+X60+SUM(X64:X68),5)</f>
        <v>32341.77</v>
      </c>
      <c r="Y69" s="274"/>
      <c r="Z69" s="276">
        <f>ROUND(Z54+Z60+SUM(Z64:Z68),5)</f>
        <v>38059.39</v>
      </c>
      <c r="AA69" s="274"/>
      <c r="AB69" s="276">
        <f>ROUND(AB54+AB60+SUM(AB64:AB68),5)</f>
        <v>36401.620000000003</v>
      </c>
      <c r="AC69" s="274"/>
      <c r="AD69" s="276">
        <f>ROUND(AD54+AD60+SUM(AD64:AD68),5)</f>
        <v>44071.24</v>
      </c>
    </row>
    <row r="70" spans="1:30" x14ac:dyDescent="0.25">
      <c r="A70" s="369"/>
      <c r="B70" s="369"/>
      <c r="C70" s="369" t="s">
        <v>261</v>
      </c>
      <c r="D70" s="369"/>
      <c r="E70" s="369"/>
      <c r="F70" s="369"/>
      <c r="G70" s="369"/>
      <c r="H70" s="366">
        <f>ROUND(H40+H43+H53+H69,5)</f>
        <v>29341.8</v>
      </c>
      <c r="I70" s="274"/>
      <c r="J70" s="366">
        <f>ROUND(J40+J43+J53+J69,5)</f>
        <v>14031.24</v>
      </c>
      <c r="K70" s="274"/>
      <c r="L70" s="366">
        <f>ROUND(L40+L43+L53+L69,5)</f>
        <v>27824.67</v>
      </c>
      <c r="M70" s="274"/>
      <c r="N70" s="366">
        <f>ROUND(N40+N43+N53+N69,5)</f>
        <v>33466.480000000003</v>
      </c>
      <c r="O70" s="274"/>
      <c r="P70" s="366">
        <f>ROUND(P40+P43+P53+P69,5)</f>
        <v>14859.16</v>
      </c>
      <c r="Q70" s="274"/>
      <c r="R70" s="366">
        <f>ROUND(R40+R43+R53+R69,5)</f>
        <v>35093.79</v>
      </c>
      <c r="S70" s="274"/>
      <c r="T70" s="366">
        <f>ROUND(T40+T43+T53+T69,5)</f>
        <v>34499.919999999998</v>
      </c>
      <c r="U70" s="274"/>
      <c r="V70" s="366">
        <f>ROUND(V40+V43+V53+V69,5)</f>
        <v>30728.83</v>
      </c>
      <c r="W70" s="274"/>
      <c r="X70" s="366">
        <f>ROUND(X40+X43+X53+X69,5)</f>
        <v>39999.980000000003</v>
      </c>
      <c r="Y70" s="274"/>
      <c r="Z70" s="366">
        <f>ROUND(Z40+Z43+Z53+Z69,5)</f>
        <v>51264.88</v>
      </c>
      <c r="AA70" s="274"/>
      <c r="AB70" s="366">
        <f>ROUND(AB40+AB43+AB53+AB69,5)</f>
        <v>40522.35</v>
      </c>
      <c r="AC70" s="274"/>
      <c r="AD70" s="366">
        <f>ROUND(AD40+AD43+AD53+AD69,5)</f>
        <v>65031.37</v>
      </c>
    </row>
    <row r="71" spans="1:30" x14ac:dyDescent="0.25">
      <c r="A71" s="369"/>
      <c r="B71" s="369"/>
      <c r="C71" s="369" t="s">
        <v>262</v>
      </c>
      <c r="D71" s="369"/>
      <c r="E71" s="369"/>
      <c r="F71" s="369"/>
      <c r="G71" s="369"/>
      <c r="H71" s="366"/>
      <c r="I71" s="274"/>
      <c r="J71" s="366"/>
      <c r="K71" s="274"/>
      <c r="L71" s="366"/>
      <c r="M71" s="274"/>
      <c r="N71" s="366"/>
      <c r="O71" s="274"/>
      <c r="P71" s="366"/>
      <c r="Q71" s="274"/>
      <c r="R71" s="366"/>
      <c r="S71" s="274"/>
      <c r="T71" s="366"/>
      <c r="U71" s="274"/>
      <c r="V71" s="366"/>
      <c r="W71" s="274"/>
      <c r="X71" s="366"/>
      <c r="Y71" s="274"/>
      <c r="Z71" s="366"/>
      <c r="AA71" s="274"/>
      <c r="AB71" s="366"/>
      <c r="AC71" s="274"/>
      <c r="AD71" s="366"/>
    </row>
    <row r="72" spans="1:30" ht="15.75" thickBot="1" x14ac:dyDescent="0.3">
      <c r="A72" s="369"/>
      <c r="B72" s="369"/>
      <c r="C72" s="369"/>
      <c r="D72" s="369" t="s">
        <v>263</v>
      </c>
      <c r="E72" s="369"/>
      <c r="F72" s="369"/>
      <c r="G72" s="369"/>
      <c r="H72" s="365">
        <v>8243.7000000000007</v>
      </c>
      <c r="I72" s="274"/>
      <c r="J72" s="365">
        <v>8145.65</v>
      </c>
      <c r="K72" s="274"/>
      <c r="L72" s="365">
        <v>8047.6</v>
      </c>
      <c r="M72" s="274"/>
      <c r="N72" s="365">
        <v>7886.8</v>
      </c>
      <c r="O72" s="274"/>
      <c r="P72" s="365">
        <v>7886.8</v>
      </c>
      <c r="Q72" s="274"/>
      <c r="R72" s="365">
        <v>7886.8</v>
      </c>
      <c r="S72" s="274"/>
      <c r="T72" s="365">
        <v>7886.8</v>
      </c>
      <c r="U72" s="274"/>
      <c r="V72" s="365">
        <v>7886.8</v>
      </c>
      <c r="W72" s="274"/>
      <c r="X72" s="365">
        <v>7082.82</v>
      </c>
      <c r="Y72" s="274"/>
      <c r="Z72" s="365">
        <v>7082.82</v>
      </c>
      <c r="AA72" s="274"/>
      <c r="AB72" s="365">
        <v>6761.22</v>
      </c>
      <c r="AC72" s="274"/>
      <c r="AD72" s="365">
        <v>6600.42</v>
      </c>
    </row>
    <row r="73" spans="1:30" ht="15.75" thickBot="1" x14ac:dyDescent="0.3">
      <c r="A73" s="369"/>
      <c r="B73" s="369"/>
      <c r="C73" s="369" t="s">
        <v>264</v>
      </c>
      <c r="D73" s="369"/>
      <c r="E73" s="369"/>
      <c r="F73" s="369"/>
      <c r="G73" s="369"/>
      <c r="H73" s="276">
        <f>ROUND(SUM(H71:H72),5)</f>
        <v>8243.7000000000007</v>
      </c>
      <c r="I73" s="274"/>
      <c r="J73" s="276">
        <f>ROUND(SUM(J71:J72),5)</f>
        <v>8145.65</v>
      </c>
      <c r="K73" s="274"/>
      <c r="L73" s="276">
        <f>ROUND(SUM(L71:L72),5)</f>
        <v>8047.6</v>
      </c>
      <c r="M73" s="274"/>
      <c r="N73" s="276">
        <f>ROUND(SUM(N71:N72),5)</f>
        <v>7886.8</v>
      </c>
      <c r="O73" s="274"/>
      <c r="P73" s="276">
        <f>ROUND(SUM(P71:P72),5)</f>
        <v>7886.8</v>
      </c>
      <c r="Q73" s="274"/>
      <c r="R73" s="276">
        <f>ROUND(SUM(R71:R72),5)</f>
        <v>7886.8</v>
      </c>
      <c r="S73" s="274"/>
      <c r="T73" s="276">
        <f>ROUND(SUM(T71:T72),5)</f>
        <v>7886.8</v>
      </c>
      <c r="U73" s="274"/>
      <c r="V73" s="276">
        <f>ROUND(SUM(V71:V72),5)</f>
        <v>7886.8</v>
      </c>
      <c r="W73" s="274"/>
      <c r="X73" s="276">
        <f>ROUND(SUM(X71:X72),5)</f>
        <v>7082.82</v>
      </c>
      <c r="Y73" s="274"/>
      <c r="Z73" s="276">
        <f>ROUND(SUM(Z71:Z72),5)</f>
        <v>7082.82</v>
      </c>
      <c r="AA73" s="274"/>
      <c r="AB73" s="276">
        <f>ROUND(SUM(AB71:AB72),5)</f>
        <v>6761.22</v>
      </c>
      <c r="AC73" s="274"/>
      <c r="AD73" s="276">
        <f>ROUND(SUM(AD71:AD72),5)</f>
        <v>6600.42</v>
      </c>
    </row>
    <row r="74" spans="1:30" x14ac:dyDescent="0.25">
      <c r="A74" s="369"/>
      <c r="B74" s="369" t="s">
        <v>265</v>
      </c>
      <c r="C74" s="369"/>
      <c r="D74" s="369"/>
      <c r="E74" s="369"/>
      <c r="F74" s="369"/>
      <c r="G74" s="369"/>
      <c r="H74" s="366">
        <f>ROUND(H39+H70+H73,5)</f>
        <v>37585.5</v>
      </c>
      <c r="I74" s="274"/>
      <c r="J74" s="366">
        <f>ROUND(J39+J70+J73,5)</f>
        <v>22176.89</v>
      </c>
      <c r="K74" s="274"/>
      <c r="L74" s="366">
        <f>ROUND(L39+L70+L73,5)</f>
        <v>35872.269999999997</v>
      </c>
      <c r="M74" s="274"/>
      <c r="N74" s="366">
        <f>ROUND(N39+N70+N73,5)</f>
        <v>41353.279999999999</v>
      </c>
      <c r="O74" s="274"/>
      <c r="P74" s="366">
        <f>ROUND(P39+P70+P73,5)</f>
        <v>22745.96</v>
      </c>
      <c r="Q74" s="274"/>
      <c r="R74" s="366">
        <f>ROUND(R39+R70+R73,5)</f>
        <v>42980.59</v>
      </c>
      <c r="S74" s="274"/>
      <c r="T74" s="366">
        <f>ROUND(T39+T70+T73,5)</f>
        <v>42386.720000000001</v>
      </c>
      <c r="U74" s="274"/>
      <c r="V74" s="366">
        <f>ROUND(V39+V70+V73,5)</f>
        <v>38615.629999999997</v>
      </c>
      <c r="W74" s="274"/>
      <c r="X74" s="366">
        <f>ROUND(X39+X70+X73,5)</f>
        <v>47082.8</v>
      </c>
      <c r="Y74" s="274"/>
      <c r="Z74" s="366">
        <f>ROUND(Z39+Z70+Z73,5)</f>
        <v>58347.7</v>
      </c>
      <c r="AA74" s="274"/>
      <c r="AB74" s="366">
        <f>ROUND(AB39+AB70+AB73,5)</f>
        <v>47283.57</v>
      </c>
      <c r="AC74" s="274"/>
      <c r="AD74" s="366">
        <f>ROUND(AD39+AD70+AD73,5)</f>
        <v>71631.789999999994</v>
      </c>
    </row>
    <row r="75" spans="1:30" x14ac:dyDescent="0.25">
      <c r="A75" s="369"/>
      <c r="B75" s="369" t="s">
        <v>266</v>
      </c>
      <c r="C75" s="369"/>
      <c r="D75" s="369"/>
      <c r="E75" s="369"/>
      <c r="F75" s="369"/>
      <c r="G75" s="369"/>
      <c r="H75" s="366"/>
      <c r="I75" s="274"/>
      <c r="J75" s="366"/>
      <c r="K75" s="274"/>
      <c r="L75" s="366"/>
      <c r="M75" s="274"/>
      <c r="N75" s="366"/>
      <c r="O75" s="274"/>
      <c r="P75" s="366"/>
      <c r="Q75" s="274"/>
      <c r="R75" s="366"/>
      <c r="S75" s="274"/>
      <c r="T75" s="366"/>
      <c r="U75" s="274"/>
      <c r="V75" s="366"/>
      <c r="W75" s="274"/>
      <c r="X75" s="366"/>
      <c r="Y75" s="274"/>
      <c r="Z75" s="366"/>
      <c r="AA75" s="274"/>
      <c r="AB75" s="366"/>
      <c r="AC75" s="274"/>
      <c r="AD75" s="366"/>
    </row>
    <row r="76" spans="1:30" x14ac:dyDescent="0.25">
      <c r="A76" s="369"/>
      <c r="B76" s="369"/>
      <c r="C76" s="369" t="s">
        <v>267</v>
      </c>
      <c r="D76" s="369"/>
      <c r="E76" s="369"/>
      <c r="F76" s="369"/>
      <c r="G76" s="369"/>
      <c r="H76" s="366">
        <v>62564.54</v>
      </c>
      <c r="I76" s="274"/>
      <c r="J76" s="366">
        <v>67085.86</v>
      </c>
      <c r="K76" s="274"/>
      <c r="L76" s="366">
        <v>71419.929999999993</v>
      </c>
      <c r="M76" s="274"/>
      <c r="N76" s="366">
        <v>74980.98</v>
      </c>
      <c r="O76" s="274"/>
      <c r="P76" s="366">
        <v>79314.11</v>
      </c>
      <c r="Q76" s="274"/>
      <c r="R76" s="366">
        <v>83543.37</v>
      </c>
      <c r="S76" s="274"/>
      <c r="T76" s="366">
        <v>88129.02</v>
      </c>
      <c r="U76" s="274"/>
      <c r="V76" s="366">
        <v>88562.79</v>
      </c>
      <c r="W76" s="274"/>
      <c r="X76" s="366">
        <v>80007.25</v>
      </c>
      <c r="Y76" s="274"/>
      <c r="Z76" s="366">
        <v>76600.72</v>
      </c>
      <c r="AA76" s="274"/>
      <c r="AB76" s="366">
        <v>78031.73</v>
      </c>
      <c r="AC76" s="274"/>
      <c r="AD76" s="366">
        <v>81991.199999999997</v>
      </c>
    </row>
    <row r="77" spans="1:30" x14ac:dyDescent="0.25">
      <c r="A77" s="369"/>
      <c r="B77" s="369"/>
      <c r="C77" s="369" t="s">
        <v>268</v>
      </c>
      <c r="D77" s="369"/>
      <c r="E77" s="369"/>
      <c r="F77" s="369"/>
      <c r="G77" s="369"/>
      <c r="H77" s="366"/>
      <c r="I77" s="274"/>
      <c r="J77" s="366"/>
      <c r="K77" s="274"/>
      <c r="L77" s="366"/>
      <c r="M77" s="274"/>
      <c r="N77" s="366"/>
      <c r="O77" s="274"/>
      <c r="P77" s="366"/>
      <c r="Q77" s="274"/>
      <c r="R77" s="366"/>
      <c r="S77" s="274"/>
      <c r="T77" s="366"/>
      <c r="U77" s="274"/>
      <c r="V77" s="366"/>
      <c r="W77" s="274"/>
      <c r="X77" s="366"/>
      <c r="Y77" s="274"/>
      <c r="Z77" s="366"/>
      <c r="AA77" s="274"/>
      <c r="AB77" s="366"/>
      <c r="AC77" s="274"/>
      <c r="AD77" s="366"/>
    </row>
    <row r="78" spans="1:30" x14ac:dyDescent="0.25">
      <c r="A78" s="369"/>
      <c r="B78" s="369"/>
      <c r="C78" s="369"/>
      <c r="D78" s="369" t="s">
        <v>269</v>
      </c>
      <c r="E78" s="369"/>
      <c r="F78" s="369"/>
      <c r="G78" s="369"/>
      <c r="H78" s="366">
        <v>21353.46</v>
      </c>
      <c r="I78" s="274"/>
      <c r="J78" s="366">
        <v>21353.46</v>
      </c>
      <c r="K78" s="274"/>
      <c r="L78" s="366">
        <v>21353.46</v>
      </c>
      <c r="M78" s="274"/>
      <c r="N78" s="366">
        <v>21353.46</v>
      </c>
      <c r="O78" s="274"/>
      <c r="P78" s="366">
        <v>21353.46</v>
      </c>
      <c r="Q78" s="274"/>
      <c r="R78" s="366">
        <v>21353.46</v>
      </c>
      <c r="S78" s="274"/>
      <c r="T78" s="366">
        <v>21353.46</v>
      </c>
      <c r="U78" s="274"/>
      <c r="V78" s="366">
        <v>21353.46</v>
      </c>
      <c r="W78" s="274"/>
      <c r="X78" s="366">
        <v>21353.46</v>
      </c>
      <c r="Y78" s="274"/>
      <c r="Z78" s="366">
        <v>21353.46</v>
      </c>
      <c r="AA78" s="274"/>
      <c r="AB78" s="366">
        <v>21353.46</v>
      </c>
      <c r="AC78" s="274"/>
      <c r="AD78" s="366">
        <v>21353.46</v>
      </c>
    </row>
    <row r="79" spans="1:30" x14ac:dyDescent="0.25">
      <c r="A79" s="369"/>
      <c r="B79" s="369"/>
      <c r="C79" s="369"/>
      <c r="D79" s="369" t="s">
        <v>270</v>
      </c>
      <c r="E79" s="369"/>
      <c r="F79" s="369"/>
      <c r="G79" s="369"/>
      <c r="H79" s="366">
        <v>95480.42</v>
      </c>
      <c r="I79" s="274"/>
      <c r="J79" s="366">
        <v>95480.42</v>
      </c>
      <c r="K79" s="274"/>
      <c r="L79" s="366">
        <v>95480.42</v>
      </c>
      <c r="M79" s="274"/>
      <c r="N79" s="366">
        <v>95480.42</v>
      </c>
      <c r="O79" s="274"/>
      <c r="P79" s="366">
        <v>95480.42</v>
      </c>
      <c r="Q79" s="274"/>
      <c r="R79" s="366">
        <v>95480.42</v>
      </c>
      <c r="S79" s="274"/>
      <c r="T79" s="366">
        <v>95480.42</v>
      </c>
      <c r="U79" s="274"/>
      <c r="V79" s="366">
        <v>95480.42</v>
      </c>
      <c r="W79" s="274"/>
      <c r="X79" s="366">
        <v>95480.42</v>
      </c>
      <c r="Y79" s="274"/>
      <c r="Z79" s="366">
        <v>95480.42</v>
      </c>
      <c r="AA79" s="274"/>
      <c r="AB79" s="366">
        <v>95480.42</v>
      </c>
      <c r="AC79" s="274"/>
      <c r="AD79" s="366">
        <v>95480.42</v>
      </c>
    </row>
    <row r="80" spans="1:30" ht="15.75" thickBot="1" x14ac:dyDescent="0.3">
      <c r="A80" s="369"/>
      <c r="B80" s="369"/>
      <c r="C80" s="369"/>
      <c r="D80" s="369" t="s">
        <v>271</v>
      </c>
      <c r="E80" s="369"/>
      <c r="F80" s="369"/>
      <c r="G80" s="369"/>
      <c r="H80" s="275">
        <v>47637.52</v>
      </c>
      <c r="I80" s="274"/>
      <c r="J80" s="275">
        <v>43116.2</v>
      </c>
      <c r="K80" s="274"/>
      <c r="L80" s="275">
        <v>38782.129999999997</v>
      </c>
      <c r="M80" s="274"/>
      <c r="N80" s="275">
        <v>35221.08</v>
      </c>
      <c r="O80" s="274"/>
      <c r="P80" s="275">
        <v>30887.95</v>
      </c>
      <c r="Q80" s="274"/>
      <c r="R80" s="275">
        <v>26658.69</v>
      </c>
      <c r="S80" s="274"/>
      <c r="T80" s="275">
        <v>22073.040000000001</v>
      </c>
      <c r="U80" s="274"/>
      <c r="V80" s="275">
        <v>21639.27</v>
      </c>
      <c r="W80" s="274"/>
      <c r="X80" s="275">
        <v>30194.81</v>
      </c>
      <c r="Y80" s="274"/>
      <c r="Z80" s="275">
        <v>26872.93</v>
      </c>
      <c r="AA80" s="274"/>
      <c r="AB80" s="275">
        <v>25441.919999999998</v>
      </c>
      <c r="AC80" s="274"/>
      <c r="AD80" s="275">
        <v>21482.45</v>
      </c>
    </row>
    <row r="81" spans="1:30" x14ac:dyDescent="0.25">
      <c r="A81" s="369"/>
      <c r="B81" s="369"/>
      <c r="C81" s="369" t="s">
        <v>272</v>
      </c>
      <c r="D81" s="369"/>
      <c r="E81" s="369"/>
      <c r="F81" s="369"/>
      <c r="G81" s="369"/>
      <c r="H81" s="366">
        <f>ROUND(SUM(H77:H80),5)</f>
        <v>164471.4</v>
      </c>
      <c r="I81" s="274"/>
      <c r="J81" s="366">
        <f>ROUND(SUM(J77:J80),5)</f>
        <v>159950.07999999999</v>
      </c>
      <c r="K81" s="274"/>
      <c r="L81" s="366">
        <f>ROUND(SUM(L77:L80),5)</f>
        <v>155616.01</v>
      </c>
      <c r="M81" s="274"/>
      <c r="N81" s="366">
        <f>ROUND(SUM(N77:N80),5)</f>
        <v>152054.96</v>
      </c>
      <c r="O81" s="274"/>
      <c r="P81" s="366">
        <f>ROUND(SUM(P77:P80),5)</f>
        <v>147721.82999999999</v>
      </c>
      <c r="Q81" s="274"/>
      <c r="R81" s="366">
        <f>ROUND(SUM(R77:R80),5)</f>
        <v>143492.57</v>
      </c>
      <c r="S81" s="274"/>
      <c r="T81" s="366">
        <f>ROUND(SUM(T77:T80),5)</f>
        <v>138906.92000000001</v>
      </c>
      <c r="U81" s="274"/>
      <c r="V81" s="366">
        <f>ROUND(SUM(V77:V80),5)</f>
        <v>138473.15</v>
      </c>
      <c r="W81" s="274"/>
      <c r="X81" s="366">
        <f>ROUND(SUM(X77:X80),5)</f>
        <v>147028.69</v>
      </c>
      <c r="Y81" s="274"/>
      <c r="Z81" s="366">
        <f>ROUND(SUM(Z77:Z80),5)</f>
        <v>143706.81</v>
      </c>
      <c r="AA81" s="274"/>
      <c r="AB81" s="366">
        <f>ROUND(SUM(AB77:AB80),5)</f>
        <v>142275.79999999999</v>
      </c>
      <c r="AC81" s="274"/>
      <c r="AD81" s="366">
        <f>ROUND(SUM(AD77:AD80),5)</f>
        <v>138316.32999999999</v>
      </c>
    </row>
    <row r="82" spans="1:30" ht="15.75" thickBot="1" x14ac:dyDescent="0.3">
      <c r="A82" s="369"/>
      <c r="B82" s="369"/>
      <c r="C82" s="369" t="s">
        <v>160</v>
      </c>
      <c r="D82" s="369"/>
      <c r="E82" s="369"/>
      <c r="F82" s="369"/>
      <c r="G82" s="369"/>
      <c r="H82" s="365">
        <v>77535.7</v>
      </c>
      <c r="I82" s="274"/>
      <c r="J82" s="365">
        <v>72776.639999999999</v>
      </c>
      <c r="K82" s="274"/>
      <c r="L82" s="365">
        <v>48076.56</v>
      </c>
      <c r="M82" s="274"/>
      <c r="N82" s="365">
        <v>56925.38</v>
      </c>
      <c r="O82" s="274"/>
      <c r="P82" s="365">
        <v>60560.71</v>
      </c>
      <c r="Q82" s="274"/>
      <c r="R82" s="365">
        <v>19265.5</v>
      </c>
      <c r="S82" s="274"/>
      <c r="T82" s="365">
        <v>6029.58</v>
      </c>
      <c r="U82" s="274"/>
      <c r="V82" s="365">
        <v>-3590.46</v>
      </c>
      <c r="W82" s="274"/>
      <c r="X82" s="365">
        <v>-6728.41</v>
      </c>
      <c r="Y82" s="274"/>
      <c r="Z82" s="365">
        <v>37297.93</v>
      </c>
      <c r="AA82" s="274"/>
      <c r="AB82" s="365">
        <v>41748.61</v>
      </c>
      <c r="AC82" s="274"/>
      <c r="AD82" s="365">
        <v>92504.89</v>
      </c>
    </row>
    <row r="83" spans="1:30" ht="15.75" thickBot="1" x14ac:dyDescent="0.3">
      <c r="A83" s="369"/>
      <c r="B83" s="369" t="s">
        <v>273</v>
      </c>
      <c r="C83" s="369"/>
      <c r="D83" s="369"/>
      <c r="E83" s="369"/>
      <c r="F83" s="369"/>
      <c r="G83" s="369"/>
      <c r="H83" s="277">
        <f>ROUND(SUM(H75:H76)+SUM(H81:H82),5)</f>
        <v>304571.64</v>
      </c>
      <c r="I83" s="274"/>
      <c r="J83" s="277">
        <f>ROUND(SUM(J75:J76)+SUM(J81:J82),5)</f>
        <v>299812.58</v>
      </c>
      <c r="K83" s="274"/>
      <c r="L83" s="277">
        <f>ROUND(SUM(L75:L76)+SUM(L81:L82),5)</f>
        <v>275112.5</v>
      </c>
      <c r="M83" s="274"/>
      <c r="N83" s="277">
        <f>ROUND(SUM(N75:N76)+SUM(N81:N82),5)</f>
        <v>283961.32</v>
      </c>
      <c r="O83" s="274"/>
      <c r="P83" s="277">
        <f>ROUND(SUM(P75:P76)+SUM(P81:P82),5)</f>
        <v>287596.65000000002</v>
      </c>
      <c r="Q83" s="274"/>
      <c r="R83" s="277">
        <f>ROUND(SUM(R75:R76)+SUM(R81:R82),5)</f>
        <v>246301.44</v>
      </c>
      <c r="S83" s="274"/>
      <c r="T83" s="277">
        <f>ROUND(SUM(T75:T76)+SUM(T81:T82),5)</f>
        <v>233065.52</v>
      </c>
      <c r="U83" s="274"/>
      <c r="V83" s="277">
        <f>ROUND(SUM(V75:V76)+SUM(V81:V82),5)</f>
        <v>223445.48</v>
      </c>
      <c r="W83" s="274"/>
      <c r="X83" s="277">
        <f>ROUND(SUM(X75:X76)+SUM(X81:X82),5)</f>
        <v>220307.53</v>
      </c>
      <c r="Y83" s="274"/>
      <c r="Z83" s="277">
        <f>ROUND(SUM(Z75:Z76)+SUM(Z81:Z82),5)</f>
        <v>257605.46</v>
      </c>
      <c r="AA83" s="274"/>
      <c r="AB83" s="277">
        <f>ROUND(SUM(AB75:AB76)+SUM(AB81:AB82),5)</f>
        <v>262056.14</v>
      </c>
      <c r="AC83" s="274"/>
      <c r="AD83" s="277">
        <f>ROUND(SUM(AD75:AD76)+SUM(AD81:AD82),5)</f>
        <v>312812.42</v>
      </c>
    </row>
    <row r="84" spans="1:30" s="279" customFormat="1" ht="12" thickBot="1" x14ac:dyDescent="0.25">
      <c r="A84" s="369" t="s">
        <v>274</v>
      </c>
      <c r="B84" s="369"/>
      <c r="C84" s="369"/>
      <c r="D84" s="369"/>
      <c r="E84" s="369"/>
      <c r="F84" s="369"/>
      <c r="G84" s="369"/>
      <c r="H84" s="278">
        <f>ROUND(H38+H74+H83,5)</f>
        <v>342157.14</v>
      </c>
      <c r="I84" s="369"/>
      <c r="J84" s="278">
        <f>ROUND(J38+J74+J83,5)</f>
        <v>321989.46999999997</v>
      </c>
      <c r="K84" s="369"/>
      <c r="L84" s="278">
        <f>ROUND(L38+L74+L83,5)</f>
        <v>310984.77</v>
      </c>
      <c r="M84" s="369"/>
      <c r="N84" s="278">
        <f>ROUND(N38+N74+N83,5)</f>
        <v>325314.59999999998</v>
      </c>
      <c r="O84" s="369"/>
      <c r="P84" s="278">
        <f>ROUND(P38+P74+P83,5)</f>
        <v>310342.61</v>
      </c>
      <c r="Q84" s="369"/>
      <c r="R84" s="278">
        <f>ROUND(R38+R74+R83,5)</f>
        <v>289282.03000000003</v>
      </c>
      <c r="S84" s="369"/>
      <c r="T84" s="278">
        <f>ROUND(T38+T74+T83,5)</f>
        <v>275452.24</v>
      </c>
      <c r="U84" s="369"/>
      <c r="V84" s="278">
        <f>ROUND(V38+V74+V83,5)</f>
        <v>262061.11</v>
      </c>
      <c r="W84" s="369"/>
      <c r="X84" s="278">
        <f>ROUND(X38+X74+X83,5)</f>
        <v>267390.33</v>
      </c>
      <c r="Y84" s="369"/>
      <c r="Z84" s="278">
        <f>ROUND(Z38+Z74+Z83,5)</f>
        <v>315953.15999999997</v>
      </c>
      <c r="AA84" s="369"/>
      <c r="AB84" s="278">
        <f>ROUND(AB38+AB74+AB83,5)</f>
        <v>309339.71000000002</v>
      </c>
      <c r="AC84" s="369"/>
      <c r="AD84" s="278">
        <f>ROUND(AD38+AD74+AD83,5)</f>
        <v>384444.21</v>
      </c>
    </row>
    <row r="85" spans="1:30" ht="15.75" thickTop="1" x14ac:dyDescent="0.25"/>
  </sheetData>
  <pageMargins left="0.45" right="0.45" top="0.75" bottom="0.5" header="0.1" footer="0.3"/>
  <pageSetup scale="85" orientation="portrait" r:id="rId1"/>
  <headerFooter>
    <oddHeader>&amp;L&amp;"Arial,Bold"&amp;8 7:28 AM
 01/02/19
 Accrual Basis&amp;C&amp;"Arial,Bold"&amp;12 League of Women Voters of California
&amp;14 Statement of Financial Position
&amp;10 As of November 30, 2018</oddHeader>
    <oddFooter>&amp;R&amp;"Arial,Bold"&amp;8 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19"/>
  <sheetViews>
    <sheetView topLeftCell="B76" zoomScaleNormal="100" workbookViewId="0">
      <selection activeCell="H78" sqref="H78:S84"/>
    </sheetView>
  </sheetViews>
  <sheetFormatPr defaultRowHeight="15" x14ac:dyDescent="0.25"/>
  <cols>
    <col min="1" max="1" width="29.85546875" style="360" customWidth="1"/>
    <col min="2" max="2" width="10.7109375" style="360" bestFit="1" customWidth="1"/>
    <col min="3" max="3" width="12.7109375" style="360" bestFit="1" customWidth="1"/>
    <col min="4" max="4" width="13.28515625" style="360" bestFit="1" customWidth="1"/>
    <col min="5" max="5" width="13.28515625" style="360" customWidth="1"/>
    <col min="6" max="6" width="11.7109375" style="360" customWidth="1"/>
    <col min="7" max="7" width="1.85546875" style="337" customWidth="1"/>
    <col min="8" max="8" width="15.42578125" style="360" customWidth="1"/>
    <col min="9" max="9" width="14.42578125" style="360" customWidth="1"/>
    <col min="10" max="10" width="14.28515625" style="360" customWidth="1"/>
    <col min="11" max="11" width="12.42578125" style="360" customWidth="1"/>
    <col min="12" max="12" width="12.85546875" style="360" customWidth="1"/>
    <col min="13" max="15" width="10.42578125" style="360" customWidth="1"/>
    <col min="16" max="16" width="10.85546875" style="360" customWidth="1"/>
    <col min="17" max="17" width="11.7109375" style="360" customWidth="1"/>
    <col min="18" max="18" width="12.140625" style="360" customWidth="1"/>
    <col min="19" max="16384" width="9.140625" style="360"/>
  </cols>
  <sheetData>
    <row r="1" spans="1:22" x14ac:dyDescent="0.25">
      <c r="A1" s="86" t="s">
        <v>275</v>
      </c>
      <c r="B1" s="414" t="s">
        <v>456</v>
      </c>
      <c r="C1" s="414"/>
    </row>
    <row r="2" spans="1:22" ht="15.75" thickBot="1" x14ac:dyDescent="0.3">
      <c r="A2" s="8" t="s">
        <v>484</v>
      </c>
      <c r="B2" s="5"/>
      <c r="C2" s="5"/>
      <c r="D2" s="5"/>
      <c r="E2" s="5"/>
      <c r="G2" s="6"/>
    </row>
    <row r="3" spans="1:22" ht="48" customHeight="1" x14ac:dyDescent="0.25">
      <c r="A3" s="35" t="s">
        <v>276</v>
      </c>
      <c r="B3" s="87" t="s">
        <v>48</v>
      </c>
      <c r="C3" s="87" t="s">
        <v>53</v>
      </c>
      <c r="D3" s="13" t="s">
        <v>46</v>
      </c>
      <c r="E3" s="13" t="s">
        <v>277</v>
      </c>
      <c r="G3" s="14"/>
    </row>
    <row r="4" spans="1:22" x14ac:dyDescent="0.25">
      <c r="A4" s="88" t="s">
        <v>7</v>
      </c>
      <c r="B4" s="423">
        <f>+B29</f>
        <v>199050</v>
      </c>
      <c r="C4" s="130">
        <f>'LWVCEF-Stmt.of Act. By Class'!AP24</f>
        <v>75081.239999999991</v>
      </c>
      <c r="D4" s="22">
        <f>B4-C4</f>
        <v>123968.76000000001</v>
      </c>
      <c r="E4" s="89">
        <f>+C4/B4</f>
        <v>0.37719788997739256</v>
      </c>
      <c r="G4" s="18"/>
    </row>
    <row r="5" spans="1:22" x14ac:dyDescent="0.25">
      <c r="A5" s="495" t="s">
        <v>469</v>
      </c>
      <c r="B5" s="496">
        <v>53392</v>
      </c>
      <c r="C5" s="130"/>
      <c r="D5" s="22"/>
      <c r="E5" s="89"/>
      <c r="G5" s="18"/>
    </row>
    <row r="6" spans="1:22" x14ac:dyDescent="0.25">
      <c r="A6" s="26" t="s">
        <v>9</v>
      </c>
      <c r="B6" s="494">
        <f>SUM(B4:B5)</f>
        <v>252442</v>
      </c>
      <c r="C6" s="106">
        <f>SUM(C4:C4)</f>
        <v>75081.239999999991</v>
      </c>
      <c r="D6" s="22">
        <f>B6-C6</f>
        <v>177360.76</v>
      </c>
      <c r="E6" s="89">
        <f>+C6/B6</f>
        <v>0.29741976374771228</v>
      </c>
      <c r="G6" s="18"/>
    </row>
    <row r="7" spans="1:22" x14ac:dyDescent="0.25">
      <c r="A7" s="31" t="s">
        <v>42</v>
      </c>
      <c r="B7" s="424">
        <v>23521</v>
      </c>
      <c r="C7" s="106">
        <v>0</v>
      </c>
      <c r="D7" s="22">
        <f>B7-C7</f>
        <v>23521</v>
      </c>
      <c r="E7" s="89">
        <f>+C7/B7</f>
        <v>0</v>
      </c>
      <c r="G7" s="18"/>
      <c r="H7" s="411"/>
      <c r="I7" s="401"/>
      <c r="J7" s="401"/>
      <c r="K7" s="401"/>
      <c r="L7" s="401"/>
      <c r="M7" s="401"/>
      <c r="N7" s="401"/>
      <c r="O7" s="401"/>
    </row>
    <row r="8" spans="1:22" x14ac:dyDescent="0.25">
      <c r="A8" s="19" t="s">
        <v>278</v>
      </c>
      <c r="B8" s="424">
        <v>166631</v>
      </c>
      <c r="C8" s="106">
        <f>'LWVCEF-Stmt.of Act. By Class'!AP37</f>
        <v>61864.159999999989</v>
      </c>
      <c r="D8" s="90">
        <f>B8-C8</f>
        <v>104766.84000000001</v>
      </c>
      <c r="E8" s="89">
        <f>+C8/B8</f>
        <v>0.37126441058386489</v>
      </c>
      <c r="G8" s="18"/>
      <c r="H8" s="2"/>
      <c r="I8" s="2"/>
      <c r="J8" s="2"/>
      <c r="K8" s="2"/>
      <c r="L8" s="2"/>
      <c r="M8" s="2"/>
      <c r="N8" s="2"/>
      <c r="O8" s="2"/>
    </row>
    <row r="9" spans="1:22" ht="15.75" thickBot="1" x14ac:dyDescent="0.3">
      <c r="A9" s="91" t="s">
        <v>14</v>
      </c>
      <c r="B9" s="434">
        <f>+B6-B8-B7</f>
        <v>62290</v>
      </c>
      <c r="C9" s="402">
        <f>+C6-C8-C7</f>
        <v>13217.080000000002</v>
      </c>
      <c r="D9" s="92">
        <f>+B9-C9</f>
        <v>49072.92</v>
      </c>
      <c r="E9" s="93">
        <f>+C9/B9</f>
        <v>0.21218622571841389</v>
      </c>
      <c r="G9" s="18"/>
    </row>
    <row r="10" spans="1:22" x14ac:dyDescent="0.25">
      <c r="A10" s="19"/>
      <c r="B10" s="1"/>
      <c r="C10" s="492"/>
      <c r="D10" s="48"/>
      <c r="E10" s="103"/>
      <c r="F10" s="2"/>
      <c r="G10" s="103"/>
      <c r="H10" s="2"/>
    </row>
    <row r="11" spans="1:22" x14ac:dyDescent="0.25">
      <c r="A11" s="19" t="s">
        <v>279</v>
      </c>
      <c r="B11" s="497">
        <v>11606</v>
      </c>
      <c r="C11" s="493">
        <f>B11</f>
        <v>11606</v>
      </c>
      <c r="D11" s="2"/>
      <c r="E11" s="48"/>
      <c r="F11" s="2"/>
      <c r="G11" s="103"/>
      <c r="H11" s="2"/>
    </row>
    <row r="12" spans="1:22" ht="15.75" thickBot="1" x14ac:dyDescent="0.3">
      <c r="A12" s="91" t="s">
        <v>280</v>
      </c>
      <c r="B12" s="434">
        <f>+B11+B9</f>
        <v>73896</v>
      </c>
      <c r="C12" s="62">
        <f>SUM(C9:C11)</f>
        <v>24823.08</v>
      </c>
      <c r="D12" s="23"/>
      <c r="E12" s="18"/>
      <c r="G12" s="18"/>
    </row>
    <row r="13" spans="1:22" ht="15.75" thickBot="1" x14ac:dyDescent="0.3">
      <c r="A13" s="91"/>
      <c r="B13" s="50"/>
      <c r="C13" s="410"/>
      <c r="D13" s="23"/>
      <c r="E13" s="18"/>
      <c r="G13" s="18"/>
    </row>
    <row r="14" spans="1:22" x14ac:dyDescent="0.25">
      <c r="A14" s="35" t="s">
        <v>281</v>
      </c>
      <c r="B14" s="408"/>
      <c r="C14" s="42"/>
      <c r="D14" s="6"/>
      <c r="E14" s="6"/>
      <c r="G14" s="6"/>
    </row>
    <row r="15" spans="1:22" x14ac:dyDescent="0.25">
      <c r="A15" s="88" t="s">
        <v>23</v>
      </c>
      <c r="B15" s="423">
        <v>8222</v>
      </c>
      <c r="C15" s="38">
        <f>'LWVCEF-Stmt of Fin. Pos. by mth'!AC87</f>
        <v>8221.7999999999993</v>
      </c>
      <c r="D15" s="23"/>
      <c r="E15" s="18"/>
      <c r="G15" s="18"/>
    </row>
    <row r="16" spans="1:22" x14ac:dyDescent="0.25">
      <c r="A16" s="88" t="s">
        <v>282</v>
      </c>
      <c r="B16" s="423">
        <v>33047</v>
      </c>
      <c r="C16" s="241">
        <f>'LWVCEF-Stmt of Fin. Pos. by mth'!AC86</f>
        <v>39047.230000000003</v>
      </c>
      <c r="D16" s="48"/>
      <c r="E16" s="103"/>
      <c r="F16" s="2"/>
      <c r="G16" s="103"/>
      <c r="H16" s="401"/>
      <c r="I16" s="488"/>
      <c r="J16" s="489"/>
      <c r="K16" s="489"/>
      <c r="L16" s="489"/>
      <c r="M16" s="401"/>
      <c r="N16" s="489"/>
      <c r="O16" s="401"/>
      <c r="P16" s="375"/>
      <c r="Q16" s="375"/>
      <c r="R16" s="375"/>
      <c r="S16" s="375"/>
      <c r="T16" s="375"/>
      <c r="U16" s="2"/>
      <c r="V16" s="2"/>
    </row>
    <row r="17" spans="1:13" x14ac:dyDescent="0.25">
      <c r="A17" s="88" t="s">
        <v>22</v>
      </c>
      <c r="B17" s="423">
        <f>B12-B15-B16</f>
        <v>32627</v>
      </c>
      <c r="C17" s="43">
        <f>C12-C15-C16</f>
        <v>-22445.95</v>
      </c>
      <c r="D17" s="23"/>
      <c r="E17" s="18"/>
      <c r="G17" s="18"/>
    </row>
    <row r="18" spans="1:13" ht="15.75" thickBot="1" x14ac:dyDescent="0.3">
      <c r="A18" s="29" t="s">
        <v>283</v>
      </c>
      <c r="B18" s="426">
        <f>SUM(B15:B17)</f>
        <v>73896</v>
      </c>
      <c r="C18" s="409">
        <f>SUM(C15:C17)</f>
        <v>24823.079999999998</v>
      </c>
      <c r="D18" s="23"/>
      <c r="E18" s="18"/>
      <c r="G18" s="18"/>
    </row>
    <row r="19" spans="1:13" x14ac:dyDescent="0.25">
      <c r="A19" s="32"/>
      <c r="B19" s="33"/>
      <c r="C19" s="33"/>
      <c r="D19" s="5"/>
      <c r="E19" s="32"/>
      <c r="G19" s="32"/>
    </row>
    <row r="20" spans="1:13" x14ac:dyDescent="0.25">
      <c r="A20" s="94"/>
      <c r="B20" s="95"/>
      <c r="C20" s="95"/>
      <c r="E20" s="94"/>
      <c r="G20" s="94"/>
      <c r="H20" s="94"/>
      <c r="I20" s="95"/>
      <c r="J20" s="95"/>
      <c r="K20" s="95"/>
      <c r="L20" s="95"/>
      <c r="M20" s="95"/>
    </row>
    <row r="21" spans="1:13" ht="15.75" thickBot="1" x14ac:dyDescent="0.3">
      <c r="A21" s="94"/>
      <c r="B21" s="95"/>
      <c r="C21" s="95"/>
      <c r="J21" s="75"/>
      <c r="K21" s="75"/>
      <c r="L21" s="75"/>
    </row>
    <row r="22" spans="1:13" ht="30" x14ac:dyDescent="0.25">
      <c r="A22" s="96" t="s">
        <v>284</v>
      </c>
      <c r="B22" s="97" t="s">
        <v>48</v>
      </c>
      <c r="C22" s="97" t="s">
        <v>53</v>
      </c>
      <c r="D22" s="98" t="s">
        <v>46</v>
      </c>
      <c r="E22" s="98" t="s">
        <v>277</v>
      </c>
      <c r="G22" s="99"/>
      <c r="H22" s="99"/>
      <c r="I22" s="69"/>
      <c r="J22" s="1"/>
      <c r="K22" s="1"/>
      <c r="L22" s="1"/>
    </row>
    <row r="23" spans="1:13" x14ac:dyDescent="0.25">
      <c r="A23" s="100" t="s">
        <v>285</v>
      </c>
      <c r="B23" s="423">
        <v>150000</v>
      </c>
      <c r="C23" s="130">
        <f>'LWVCEF-Stmt.of Act. By Class'!AP11</f>
        <v>41653.879999999997</v>
      </c>
      <c r="D23" s="65">
        <f t="shared" ref="D23:D29" si="0">+B23-C23</f>
        <v>108346.12</v>
      </c>
      <c r="E23" s="102">
        <f t="shared" ref="E23:E38" si="1">+C23/B23</f>
        <v>0.27769253333333332</v>
      </c>
      <c r="G23" s="103"/>
      <c r="H23" s="103"/>
      <c r="I23" s="104"/>
      <c r="J23" s="1"/>
      <c r="K23" s="1"/>
      <c r="L23" s="1"/>
    </row>
    <row r="24" spans="1:13" x14ac:dyDescent="0.25">
      <c r="A24" s="105" t="s">
        <v>286</v>
      </c>
      <c r="B24" s="424">
        <v>9400</v>
      </c>
      <c r="C24" s="106">
        <f>'LWVCEF-Stmt.of Act. By Class'!AP9</f>
        <v>4860.92</v>
      </c>
      <c r="D24" s="65">
        <f t="shared" si="0"/>
        <v>4539.08</v>
      </c>
      <c r="E24" s="102">
        <f t="shared" si="1"/>
        <v>0.51711914893617017</v>
      </c>
      <c r="G24" s="103"/>
      <c r="H24" s="103"/>
      <c r="I24" s="107"/>
      <c r="J24" s="1"/>
      <c r="K24" s="1"/>
      <c r="L24" s="1"/>
    </row>
    <row r="25" spans="1:13" x14ac:dyDescent="0.25">
      <c r="A25" s="105" t="s">
        <v>451</v>
      </c>
      <c r="B25" s="424">
        <v>550</v>
      </c>
      <c r="C25" s="106">
        <v>0</v>
      </c>
      <c r="D25" s="65">
        <f t="shared" si="0"/>
        <v>550</v>
      </c>
      <c r="E25" s="102">
        <f t="shared" si="1"/>
        <v>0</v>
      </c>
      <c r="G25" s="103"/>
      <c r="H25" s="103"/>
      <c r="I25" s="107"/>
      <c r="J25" s="1"/>
      <c r="K25" s="1"/>
      <c r="L25" s="1"/>
    </row>
    <row r="26" spans="1:13" x14ac:dyDescent="0.25">
      <c r="A26" s="105" t="s">
        <v>287</v>
      </c>
      <c r="B26" s="106">
        <v>0</v>
      </c>
      <c r="C26" s="106">
        <v>0</v>
      </c>
      <c r="D26" s="65">
        <f t="shared" si="0"/>
        <v>0</v>
      </c>
      <c r="E26" s="102" t="e">
        <f t="shared" si="1"/>
        <v>#DIV/0!</v>
      </c>
      <c r="G26" s="103"/>
      <c r="H26" s="103"/>
      <c r="I26" s="1"/>
      <c r="J26" s="1"/>
      <c r="K26" s="1"/>
      <c r="L26" s="1"/>
    </row>
    <row r="27" spans="1:13" x14ac:dyDescent="0.25">
      <c r="A27" s="105" t="s">
        <v>288</v>
      </c>
      <c r="B27" s="424">
        <v>35000</v>
      </c>
      <c r="C27" s="106">
        <f>'LWVCEF-Stmt.of Act. By Class'!AP20</f>
        <v>27620.350000000002</v>
      </c>
      <c r="D27" s="65">
        <f t="shared" si="0"/>
        <v>7379.6499999999978</v>
      </c>
      <c r="E27" s="102">
        <f t="shared" si="1"/>
        <v>0.78915285714285721</v>
      </c>
      <c r="G27" s="103"/>
      <c r="H27" s="103"/>
      <c r="I27" s="1"/>
      <c r="J27" s="1"/>
      <c r="K27" s="1"/>
      <c r="L27" s="1"/>
    </row>
    <row r="28" spans="1:13" x14ac:dyDescent="0.25">
      <c r="A28" s="105" t="s">
        <v>69</v>
      </c>
      <c r="B28" s="424">
        <v>4100</v>
      </c>
      <c r="C28" s="106">
        <f>'LWVCEF-Stmt.of Act. By Class'!AP21+'LWVCEF-Stmt.of Act. By Class'!AP22</f>
        <v>946.08999999999992</v>
      </c>
      <c r="D28" s="65">
        <f t="shared" si="0"/>
        <v>3153.91</v>
      </c>
      <c r="E28" s="102">
        <f t="shared" si="1"/>
        <v>0.23075365853658533</v>
      </c>
      <c r="G28" s="103"/>
      <c r="H28" s="103"/>
      <c r="I28" s="1"/>
      <c r="J28" s="1"/>
      <c r="K28" s="1"/>
      <c r="L28" s="1"/>
    </row>
    <row r="29" spans="1:13" x14ac:dyDescent="0.25">
      <c r="A29" s="108" t="s">
        <v>289</v>
      </c>
      <c r="B29" s="437">
        <f>SUM(B23:B28)</f>
        <v>199050</v>
      </c>
      <c r="C29" s="109">
        <f>SUM(C23:C28)</f>
        <v>75081.239999999991</v>
      </c>
      <c r="D29" s="65">
        <f t="shared" si="0"/>
        <v>123968.76000000001</v>
      </c>
      <c r="E29" s="102">
        <f t="shared" si="1"/>
        <v>0.37719788997739256</v>
      </c>
      <c r="G29" s="103"/>
      <c r="H29" s="110"/>
      <c r="I29" s="1"/>
      <c r="J29" s="1"/>
      <c r="K29" s="1"/>
      <c r="L29" s="1"/>
    </row>
    <row r="30" spans="1:13" x14ac:dyDescent="0.25">
      <c r="A30" s="76"/>
      <c r="B30" s="1"/>
      <c r="C30" s="1"/>
      <c r="D30" s="65"/>
      <c r="E30" s="102"/>
      <c r="G30" s="1"/>
      <c r="H30" s="1"/>
      <c r="I30" s="1"/>
      <c r="J30" s="1"/>
      <c r="K30" s="1"/>
      <c r="L30" s="1"/>
    </row>
    <row r="31" spans="1:13" x14ac:dyDescent="0.25">
      <c r="A31" s="111" t="s">
        <v>290</v>
      </c>
      <c r="B31" s="435">
        <v>20000</v>
      </c>
      <c r="C31" s="287">
        <f>'LWVCEF-Stmt.of Act. By Class'!AQ10</f>
        <v>4650</v>
      </c>
      <c r="D31" s="65">
        <f>+B31-C31</f>
        <v>15350</v>
      </c>
      <c r="E31" s="102">
        <f t="shared" si="1"/>
        <v>0.23250000000000001</v>
      </c>
      <c r="G31" s="103"/>
      <c r="H31" s="103"/>
      <c r="I31" s="1"/>
      <c r="J31" s="1"/>
      <c r="K31" s="1"/>
      <c r="L31" s="1"/>
    </row>
    <row r="32" spans="1:13" x14ac:dyDescent="0.25">
      <c r="A32" s="111" t="s">
        <v>291</v>
      </c>
      <c r="B32" s="435">
        <v>30000</v>
      </c>
      <c r="C32" s="287">
        <f>'LWVCEF-Stmt.of Act. By Class'!AQ12</f>
        <v>2368</v>
      </c>
      <c r="D32" s="65">
        <f>+B32-C32</f>
        <v>27632</v>
      </c>
      <c r="E32" s="102">
        <f t="shared" si="1"/>
        <v>7.8933333333333328E-2</v>
      </c>
      <c r="G32" s="103"/>
      <c r="H32" s="103"/>
      <c r="I32" s="1"/>
      <c r="J32" s="1"/>
      <c r="K32" s="1"/>
      <c r="L32" s="1"/>
    </row>
    <row r="33" spans="1:12" x14ac:dyDescent="0.25">
      <c r="A33" s="105" t="s">
        <v>451</v>
      </c>
      <c r="B33" s="435">
        <v>86000</v>
      </c>
      <c r="C33" s="287">
        <f>0</f>
        <v>0</v>
      </c>
      <c r="D33" s="65">
        <f t="shared" ref="D33:D34" si="2">+B33-C33</f>
        <v>86000</v>
      </c>
      <c r="E33" s="102">
        <f t="shared" si="1"/>
        <v>0</v>
      </c>
      <c r="G33" s="103"/>
      <c r="H33" s="103"/>
      <c r="I33" s="1"/>
      <c r="J33" s="1"/>
      <c r="K33" s="1"/>
      <c r="L33" s="1"/>
    </row>
    <row r="34" spans="1:12" x14ac:dyDescent="0.25">
      <c r="A34" s="105" t="s">
        <v>286</v>
      </c>
      <c r="B34" s="287">
        <v>0</v>
      </c>
      <c r="C34" s="2"/>
      <c r="D34" s="65">
        <f t="shared" si="2"/>
        <v>0</v>
      </c>
      <c r="E34" s="102" t="e">
        <f t="shared" si="1"/>
        <v>#DIV/0!</v>
      </c>
      <c r="G34" s="103"/>
      <c r="H34" s="103"/>
      <c r="I34" s="1"/>
      <c r="J34" s="1"/>
      <c r="K34" s="1"/>
      <c r="L34" s="1"/>
    </row>
    <row r="35" spans="1:12" x14ac:dyDescent="0.25">
      <c r="A35" s="112" t="s">
        <v>292</v>
      </c>
      <c r="B35" s="435">
        <v>180000</v>
      </c>
      <c r="C35" s="287">
        <f>'LWVCEF-Stmt.of Act. By Class'!AQ13</f>
        <v>84750</v>
      </c>
      <c r="D35" s="65">
        <f>+B35-C35</f>
        <v>95250</v>
      </c>
      <c r="E35" s="102">
        <f t="shared" si="1"/>
        <v>0.47083333333333333</v>
      </c>
      <c r="G35" s="103"/>
      <c r="H35" s="103"/>
      <c r="I35" s="1"/>
      <c r="J35" s="1"/>
      <c r="K35" s="1"/>
      <c r="L35" s="1"/>
    </row>
    <row r="36" spans="1:12" x14ac:dyDescent="0.25">
      <c r="A36" s="113" t="s">
        <v>293</v>
      </c>
      <c r="B36" s="436">
        <f>SUM(B31:B35)</f>
        <v>316000</v>
      </c>
      <c r="C36" s="226">
        <f>SUM(C31:C35)</f>
        <v>91768</v>
      </c>
      <c r="D36" s="65">
        <f>+B36-C36</f>
        <v>224232</v>
      </c>
      <c r="E36" s="102">
        <f t="shared" si="1"/>
        <v>0.29040506329113924</v>
      </c>
      <c r="G36" s="103"/>
      <c r="H36" s="103"/>
      <c r="I36" s="75"/>
    </row>
    <row r="37" spans="1:12" x14ac:dyDescent="0.25">
      <c r="A37" s="115"/>
      <c r="B37" s="116"/>
      <c r="C37" s="116"/>
      <c r="D37" s="65"/>
      <c r="E37" s="102"/>
      <c r="H37" s="337"/>
      <c r="I37" s="75"/>
    </row>
    <row r="38" spans="1:12" ht="15.75" thickBot="1" x14ac:dyDescent="0.3">
      <c r="A38" s="118" t="s">
        <v>294</v>
      </c>
      <c r="B38" s="427">
        <f>+B36+B29</f>
        <v>515050</v>
      </c>
      <c r="C38" s="119">
        <f>C36+C29</f>
        <v>166849.24</v>
      </c>
      <c r="D38" s="120">
        <f>+B38-C38</f>
        <v>348200.76</v>
      </c>
      <c r="E38" s="121">
        <f t="shared" si="1"/>
        <v>0.32394765556742061</v>
      </c>
      <c r="G38" s="103"/>
      <c r="H38" s="103"/>
      <c r="I38" s="75"/>
    </row>
    <row r="39" spans="1:12" x14ac:dyDescent="0.25">
      <c r="B39" s="360" t="s">
        <v>295</v>
      </c>
      <c r="C39" s="2"/>
    </row>
    <row r="40" spans="1:12" x14ac:dyDescent="0.25">
      <c r="B40" s="75" t="s">
        <v>295</v>
      </c>
      <c r="C40" s="75"/>
    </row>
    <row r="42" spans="1:12" ht="15.75" thickBot="1" x14ac:dyDescent="0.3"/>
    <row r="43" spans="1:12" ht="30" x14ac:dyDescent="0.25">
      <c r="A43" s="122" t="s">
        <v>296</v>
      </c>
      <c r="B43" s="123" t="s">
        <v>48</v>
      </c>
      <c r="C43" s="123" t="s">
        <v>53</v>
      </c>
      <c r="D43" s="124" t="s">
        <v>46</v>
      </c>
      <c r="E43" s="98" t="s">
        <v>277</v>
      </c>
      <c r="G43" s="99"/>
    </row>
    <row r="44" spans="1:12" x14ac:dyDescent="0.25">
      <c r="A44" s="73" t="s">
        <v>297</v>
      </c>
      <c r="B44" s="423">
        <f>+B36</f>
        <v>316000</v>
      </c>
      <c r="C44" s="20">
        <f>'LWVCEF-Stmt.of Act. By Class'!AQ24</f>
        <v>91768</v>
      </c>
      <c r="D44" s="125">
        <f>+B44-C44</f>
        <v>224232</v>
      </c>
      <c r="E44" s="102">
        <f>+C44/B44</f>
        <v>0.29040506329113924</v>
      </c>
      <c r="G44" s="103"/>
    </row>
    <row r="45" spans="1:12" ht="23.25" x14ac:dyDescent="0.35">
      <c r="A45" s="73" t="s">
        <v>298</v>
      </c>
      <c r="B45" s="423">
        <v>23521</v>
      </c>
      <c r="C45" s="20">
        <v>0</v>
      </c>
      <c r="D45" s="125">
        <f>+B45-C45</f>
        <v>23521</v>
      </c>
      <c r="E45" s="102">
        <f>+C45/B45</f>
        <v>0</v>
      </c>
      <c r="G45" s="103"/>
      <c r="H45" s="392"/>
    </row>
    <row r="46" spans="1:12" x14ac:dyDescent="0.25">
      <c r="A46" s="73" t="s">
        <v>299</v>
      </c>
      <c r="B46" s="424">
        <v>450009</v>
      </c>
      <c r="C46" s="27">
        <f>'FASB117 '!J23</f>
        <v>-69451.16</v>
      </c>
      <c r="D46" s="125">
        <f>+B46-C46</f>
        <v>519460.16000000003</v>
      </c>
      <c r="E46" s="102">
        <f>+C46/B46</f>
        <v>-0.15433282445462201</v>
      </c>
      <c r="G46" s="103"/>
    </row>
    <row r="47" spans="1:12" ht="15.75" thickBot="1" x14ac:dyDescent="0.3">
      <c r="A47" s="126" t="s">
        <v>14</v>
      </c>
      <c r="B47" s="438">
        <f>+B44+B45-B46</f>
        <v>-110488</v>
      </c>
      <c r="C47" s="412">
        <f>+C44+C45+C46</f>
        <v>22316.839999999997</v>
      </c>
      <c r="D47" s="127">
        <f>+B47-C47</f>
        <v>-132804.84</v>
      </c>
      <c r="E47" s="128"/>
      <c r="G47" s="103"/>
    </row>
    <row r="48" spans="1:12" x14ac:dyDescent="0.25">
      <c r="A48" s="73"/>
      <c r="B48" s="107"/>
      <c r="C48" s="403"/>
      <c r="D48" s="48"/>
      <c r="E48" s="103"/>
      <c r="G48" s="103"/>
    </row>
    <row r="49" spans="1:22" x14ac:dyDescent="0.25">
      <c r="A49" s="76"/>
      <c r="B49" s="1"/>
      <c r="C49" s="67"/>
      <c r="D49" s="48"/>
      <c r="E49" s="103"/>
      <c r="G49" s="103"/>
    </row>
    <row r="50" spans="1:22" x14ac:dyDescent="0.25">
      <c r="A50" s="73" t="s">
        <v>452</v>
      </c>
      <c r="B50" s="498">
        <v>150133</v>
      </c>
      <c r="C50" s="68">
        <f>B50</f>
        <v>150133</v>
      </c>
      <c r="D50" s="2"/>
      <c r="E50" s="48"/>
      <c r="F50" s="2"/>
      <c r="G50" s="103"/>
      <c r="H50" s="2"/>
      <c r="O50" s="75"/>
    </row>
    <row r="51" spans="1:22" ht="15.75" thickBot="1" x14ac:dyDescent="0.3">
      <c r="A51" s="73" t="s">
        <v>300</v>
      </c>
      <c r="B51" s="499">
        <f>+B47+B50</f>
        <v>39645</v>
      </c>
      <c r="C51" s="68">
        <f>+C47+C50</f>
        <v>172449.84</v>
      </c>
      <c r="D51" s="48"/>
      <c r="E51" s="103"/>
      <c r="G51" s="103"/>
      <c r="H51" s="378"/>
    </row>
    <row r="52" spans="1:22" ht="16.5" thickTop="1" thickBot="1" x14ac:dyDescent="0.3">
      <c r="A52" s="131"/>
      <c r="B52" s="405"/>
      <c r="C52" s="407"/>
      <c r="D52" s="48"/>
      <c r="E52" s="103"/>
      <c r="G52" s="103"/>
    </row>
    <row r="53" spans="1:22" x14ac:dyDescent="0.25">
      <c r="A53" s="132" t="s">
        <v>17</v>
      </c>
      <c r="B53" s="406"/>
      <c r="C53" s="67"/>
      <c r="D53" s="1"/>
      <c r="E53" s="1"/>
      <c r="G53" s="1"/>
    </row>
    <row r="54" spans="1:22" x14ac:dyDescent="0.25">
      <c r="A54" s="367" t="s">
        <v>36</v>
      </c>
      <c r="B54" s="106"/>
      <c r="C54" s="67"/>
      <c r="D54" s="1"/>
      <c r="E54" s="1"/>
      <c r="G54" s="1"/>
      <c r="J54" s="75"/>
      <c r="K54" s="75"/>
      <c r="L54" s="75"/>
    </row>
    <row r="55" spans="1:22" x14ac:dyDescent="0.25">
      <c r="A55" s="76" t="s">
        <v>301</v>
      </c>
      <c r="B55" s="424">
        <f>95872-91934</f>
        <v>3938</v>
      </c>
      <c r="C55" s="413">
        <f>'LWVCEF-Stmt of Fin. Pos. by mth'!AC92</f>
        <v>95871.95</v>
      </c>
      <c r="D55" s="1"/>
      <c r="E55" s="401"/>
      <c r="F55" s="401"/>
      <c r="G55" s="401"/>
      <c r="H55" s="401"/>
      <c r="I55" s="401"/>
      <c r="J55" s="401"/>
      <c r="K55" s="401"/>
      <c r="L55" s="401"/>
      <c r="M55" s="401"/>
      <c r="N55" s="401"/>
      <c r="O55" s="401"/>
      <c r="P55" s="401"/>
      <c r="Q55" s="401"/>
      <c r="R55" s="401"/>
      <c r="S55" s="401"/>
      <c r="T55" s="401"/>
      <c r="U55" s="372"/>
      <c r="V55" s="372"/>
    </row>
    <row r="56" spans="1:22" x14ac:dyDescent="0.25">
      <c r="A56" s="73" t="s">
        <v>487</v>
      </c>
      <c r="B56" s="107"/>
      <c r="C56" s="399">
        <f>'LWVCEF-Stmt.of Act. By Class'!V39</f>
        <v>-25126.03</v>
      </c>
      <c r="D56" s="1"/>
      <c r="E56" s="1"/>
      <c r="G56" s="1"/>
    </row>
    <row r="57" spans="1:22" x14ac:dyDescent="0.25">
      <c r="A57" s="73" t="s">
        <v>50</v>
      </c>
      <c r="B57" s="425">
        <f>54261-17554-1000</f>
        <v>35707</v>
      </c>
      <c r="C57" s="399">
        <f>'LWVCEF-Stmt of Fin. Pos. by mth'!AC90</f>
        <v>37158.480000000003</v>
      </c>
      <c r="D57" s="1"/>
      <c r="E57" s="1"/>
      <c r="G57" s="1"/>
    </row>
    <row r="58" spans="1:22" x14ac:dyDescent="0.25">
      <c r="A58" s="73" t="s">
        <v>463</v>
      </c>
      <c r="B58" s="425"/>
      <c r="C58" s="399">
        <f>'LWVCEF-Stmt.of Act. By Class'!AH39</f>
        <v>50000</v>
      </c>
      <c r="D58" s="1"/>
      <c r="E58" s="1"/>
      <c r="G58" s="1"/>
    </row>
    <row r="59" spans="1:22" x14ac:dyDescent="0.25">
      <c r="A59" s="73" t="s">
        <v>464</v>
      </c>
      <c r="B59" s="425"/>
      <c r="C59" s="399">
        <f>'LWVCEF-Stmt.of Act. By Class'!AD39</f>
        <v>14545</v>
      </c>
      <c r="D59" s="1"/>
      <c r="E59" s="1"/>
      <c r="G59" s="1"/>
    </row>
    <row r="60" spans="1:22" ht="15.75" thickBot="1" x14ac:dyDescent="0.3">
      <c r="A60" s="133" t="s">
        <v>302</v>
      </c>
      <c r="B60" s="439">
        <f>SUM(B54:B57)</f>
        <v>39645</v>
      </c>
      <c r="C60" s="404">
        <f>SUM(C54:C59)</f>
        <v>172449.4</v>
      </c>
      <c r="D60" s="48"/>
      <c r="E60" s="103"/>
      <c r="G60" s="103"/>
    </row>
    <row r="61" spans="1:22" x14ac:dyDescent="0.25">
      <c r="A61" s="94"/>
      <c r="B61" s="95"/>
      <c r="C61" s="95"/>
      <c r="D61" s="337"/>
      <c r="E61" s="134"/>
      <c r="G61" s="134"/>
    </row>
    <row r="62" spans="1:22" x14ac:dyDescent="0.25">
      <c r="A62" s="95"/>
      <c r="C62" s="337"/>
      <c r="D62" s="1"/>
      <c r="E62" s="1"/>
      <c r="G62" s="1"/>
    </row>
    <row r="63" spans="1:22" x14ac:dyDescent="0.25">
      <c r="E63" s="2"/>
      <c r="G63" s="1"/>
    </row>
    <row r="64" spans="1:22" ht="15.75" thickBot="1" x14ac:dyDescent="0.3">
      <c r="E64" s="2"/>
      <c r="G64" s="1"/>
    </row>
    <row r="65" spans="1:17" ht="30.75" thickBot="1" x14ac:dyDescent="0.3">
      <c r="A65" s="135" t="s">
        <v>303</v>
      </c>
      <c r="B65" s="136" t="s">
        <v>48</v>
      </c>
      <c r="C65" s="135" t="s">
        <v>53</v>
      </c>
      <c r="D65" s="138" t="s">
        <v>46</v>
      </c>
      <c r="E65" s="138" t="s">
        <v>277</v>
      </c>
      <c r="G65" s="99"/>
    </row>
    <row r="66" spans="1:17" x14ac:dyDescent="0.25">
      <c r="A66" s="117" t="s">
        <v>8</v>
      </c>
      <c r="B66" s="440">
        <f>+B38</f>
        <v>515050</v>
      </c>
      <c r="C66" s="64">
        <f>+C38</f>
        <v>166849.24</v>
      </c>
      <c r="D66" s="65">
        <f>+B66-C66</f>
        <v>348200.76</v>
      </c>
      <c r="E66" s="102">
        <f>+C66/B66</f>
        <v>0.32394765556742061</v>
      </c>
      <c r="G66" s="103"/>
    </row>
    <row r="67" spans="1:17" x14ac:dyDescent="0.25">
      <c r="A67" s="117" t="s">
        <v>11</v>
      </c>
      <c r="B67" s="125"/>
      <c r="C67" s="65"/>
      <c r="D67" s="65">
        <f>+B67-C67</f>
        <v>0</v>
      </c>
      <c r="E67" s="102"/>
      <c r="G67" s="103"/>
    </row>
    <row r="68" spans="1:17" x14ac:dyDescent="0.25">
      <c r="A68" s="117" t="s">
        <v>141</v>
      </c>
      <c r="B68" s="440">
        <f>+N95</f>
        <v>616631</v>
      </c>
      <c r="C68" s="65">
        <f>N103</f>
        <v>131315.32</v>
      </c>
      <c r="D68" s="65">
        <f>+B68-C68</f>
        <v>485315.68</v>
      </c>
      <c r="E68" s="102">
        <f>+C68/B68</f>
        <v>0.21295607908133066</v>
      </c>
      <c r="G68" s="103"/>
    </row>
    <row r="69" spans="1:17" ht="15.75" thickBot="1" x14ac:dyDescent="0.3">
      <c r="A69" s="139" t="s">
        <v>14</v>
      </c>
      <c r="B69" s="441">
        <f>+B66-B68</f>
        <v>-101581</v>
      </c>
      <c r="C69" s="120">
        <f>+C66+C67-C68</f>
        <v>35533.919999999984</v>
      </c>
      <c r="D69" s="120">
        <f>+B69-C69</f>
        <v>-137114.91999999998</v>
      </c>
      <c r="E69" s="140"/>
      <c r="G69" s="1"/>
    </row>
    <row r="70" spans="1:17" x14ac:dyDescent="0.25">
      <c r="A70" s="141"/>
      <c r="B70" s="142"/>
      <c r="C70" s="64"/>
      <c r="D70" s="48"/>
      <c r="E70" s="48"/>
      <c r="F70" s="1"/>
      <c r="G70" s="1"/>
    </row>
    <row r="71" spans="1:17" x14ac:dyDescent="0.25">
      <c r="A71" s="73" t="s">
        <v>453</v>
      </c>
      <c r="B71" s="442">
        <f>B11+B50</f>
        <v>161739</v>
      </c>
      <c r="C71" s="65">
        <f>+B71</f>
        <v>161739</v>
      </c>
      <c r="D71" s="2"/>
      <c r="E71" s="48"/>
      <c r="F71" s="1"/>
      <c r="G71" s="1"/>
      <c r="H71" s="2"/>
    </row>
    <row r="72" spans="1:17" ht="15.75" thickBot="1" x14ac:dyDescent="0.3">
      <c r="A72" s="126" t="s">
        <v>300</v>
      </c>
      <c r="B72" s="500">
        <f>B12+B51</f>
        <v>113541</v>
      </c>
      <c r="C72" s="120">
        <f>+C71+C69+C45</f>
        <v>197272.91999999998</v>
      </c>
      <c r="D72" s="48"/>
      <c r="E72" s="48"/>
      <c r="F72" s="1"/>
      <c r="G72" s="1"/>
    </row>
    <row r="73" spans="1:17" ht="15.75" thickBot="1" x14ac:dyDescent="0.3">
      <c r="C73" s="143"/>
      <c r="D73" s="2"/>
      <c r="E73" s="2"/>
      <c r="F73" s="2"/>
      <c r="G73" s="1"/>
    </row>
    <row r="74" spans="1:17" ht="15.75" thickBot="1" x14ac:dyDescent="0.3">
      <c r="A74" s="144" t="s">
        <v>304</v>
      </c>
      <c r="B74" s="136" t="s">
        <v>48</v>
      </c>
      <c r="C74" s="135" t="s">
        <v>53</v>
      </c>
      <c r="D74" s="2"/>
      <c r="E74" s="2"/>
      <c r="F74" s="2"/>
      <c r="G74" s="1"/>
    </row>
    <row r="75" spans="1:17" x14ac:dyDescent="0.25">
      <c r="A75" s="76" t="s">
        <v>305</v>
      </c>
      <c r="B75" s="442">
        <f>+B15</f>
        <v>8222</v>
      </c>
      <c r="C75" s="299">
        <f>C15</f>
        <v>8221.7999999999993</v>
      </c>
      <c r="D75" s="2"/>
      <c r="E75" s="2"/>
      <c r="F75" s="2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x14ac:dyDescent="0.25">
      <c r="A76" s="76" t="s">
        <v>22</v>
      </c>
      <c r="B76" s="129">
        <f>+B17</f>
        <v>32627</v>
      </c>
      <c r="C76" s="297">
        <f>C17</f>
        <v>-22445.95</v>
      </c>
      <c r="D76" s="358"/>
      <c r="E76" s="401"/>
      <c r="F76" s="401"/>
      <c r="G76" s="401"/>
      <c r="H76" s="401"/>
      <c r="I76" s="401"/>
      <c r="J76" s="401"/>
      <c r="K76" s="401"/>
      <c r="L76" s="401"/>
      <c r="M76" s="401"/>
      <c r="N76" s="401"/>
      <c r="O76" s="401"/>
      <c r="P76" s="401"/>
      <c r="Q76" s="2"/>
    </row>
    <row r="77" spans="1:17" x14ac:dyDescent="0.25">
      <c r="A77" s="76" t="s">
        <v>306</v>
      </c>
      <c r="B77" s="443">
        <f>+B16</f>
        <v>33047</v>
      </c>
      <c r="C77" s="297">
        <f>C16</f>
        <v>39047.230000000003</v>
      </c>
      <c r="D77" s="2"/>
      <c r="E77" s="2"/>
      <c r="F77" s="2"/>
      <c r="G77" s="1"/>
    </row>
    <row r="78" spans="1:17" x14ac:dyDescent="0.25">
      <c r="A78" s="76" t="s">
        <v>36</v>
      </c>
      <c r="B78" s="129"/>
      <c r="C78" s="297"/>
      <c r="D78" s="2"/>
      <c r="E78" s="2"/>
      <c r="F78" s="2"/>
      <c r="G78" s="1"/>
    </row>
    <row r="79" spans="1:17" x14ac:dyDescent="0.25">
      <c r="A79" s="76" t="s">
        <v>50</v>
      </c>
      <c r="B79" s="444">
        <f>+B57</f>
        <v>35707</v>
      </c>
      <c r="C79" s="297">
        <f>C57</f>
        <v>37158.480000000003</v>
      </c>
      <c r="D79" s="2"/>
      <c r="E79" s="2"/>
      <c r="F79" s="2"/>
      <c r="G79" s="1"/>
    </row>
    <row r="80" spans="1:17" x14ac:dyDescent="0.25">
      <c r="A80" s="76" t="s">
        <v>301</v>
      </c>
      <c r="B80" s="444">
        <f>+B55</f>
        <v>3938</v>
      </c>
      <c r="C80" s="297">
        <f>C55</f>
        <v>95871.95</v>
      </c>
      <c r="D80" s="2"/>
      <c r="E80" s="2"/>
      <c r="F80" s="2"/>
      <c r="G80" s="1"/>
    </row>
    <row r="81" spans="1:14" x14ac:dyDescent="0.25">
      <c r="A81" s="73" t="s">
        <v>463</v>
      </c>
      <c r="B81" s="444"/>
      <c r="C81" s="297">
        <f>C58</f>
        <v>50000</v>
      </c>
      <c r="D81" s="2"/>
      <c r="E81" s="2"/>
      <c r="F81" s="2"/>
      <c r="G81" s="1"/>
    </row>
    <row r="82" spans="1:14" x14ac:dyDescent="0.25">
      <c r="A82" s="73" t="s">
        <v>464</v>
      </c>
      <c r="B82" s="444"/>
      <c r="C82" s="297">
        <f>C59</f>
        <v>14545</v>
      </c>
      <c r="D82" s="2"/>
      <c r="E82" s="2"/>
      <c r="F82" s="2"/>
      <c r="G82" s="1"/>
    </row>
    <row r="83" spans="1:14" x14ac:dyDescent="0.25">
      <c r="A83" s="73" t="s">
        <v>487</v>
      </c>
      <c r="B83" s="129"/>
      <c r="C83" s="297">
        <f>C56</f>
        <v>-25126.03</v>
      </c>
      <c r="D83" s="2"/>
      <c r="E83" s="2"/>
      <c r="F83" s="2"/>
      <c r="G83" s="1"/>
    </row>
    <row r="84" spans="1:14" ht="15.75" thickBot="1" x14ac:dyDescent="0.3">
      <c r="A84" s="131" t="s">
        <v>294</v>
      </c>
      <c r="B84" s="265">
        <f>SUM(B75:B83)</f>
        <v>113541</v>
      </c>
      <c r="C84" s="298">
        <f>SUM(C75:C83)</f>
        <v>197272.48</v>
      </c>
      <c r="D84" s="2"/>
      <c r="E84" s="2"/>
      <c r="F84" s="2"/>
      <c r="G84" s="1"/>
    </row>
    <row r="88" spans="1:14" ht="15.75" thickBot="1" x14ac:dyDescent="0.3">
      <c r="A88" s="146" t="s">
        <v>482</v>
      </c>
      <c r="B88" s="147"/>
      <c r="C88" s="147"/>
      <c r="D88" s="147"/>
      <c r="E88" s="147"/>
      <c r="F88" s="147"/>
      <c r="G88" s="95"/>
      <c r="M88" s="143"/>
      <c r="N88" s="2"/>
    </row>
    <row r="89" spans="1:14" ht="15.75" thickBot="1" x14ac:dyDescent="0.3">
      <c r="A89" s="148" t="s">
        <v>72</v>
      </c>
      <c r="B89" s="607" t="s">
        <v>73</v>
      </c>
      <c r="C89" s="607"/>
      <c r="D89" s="607"/>
      <c r="E89" s="386"/>
      <c r="F89" s="380"/>
      <c r="G89" s="149"/>
      <c r="H89" s="260" t="s">
        <v>74</v>
      </c>
      <c r="I89" s="150"/>
      <c r="J89" s="150"/>
      <c r="K89" s="150"/>
      <c r="L89" s="150"/>
      <c r="M89" s="150"/>
      <c r="N89" s="151"/>
    </row>
    <row r="90" spans="1:14" ht="30" x14ac:dyDescent="0.25">
      <c r="A90" s="73"/>
      <c r="B90" s="152" t="s">
        <v>75</v>
      </c>
      <c r="C90" s="152" t="s">
        <v>76</v>
      </c>
      <c r="D90" s="187" t="s">
        <v>77</v>
      </c>
      <c r="E90" s="134" t="s">
        <v>434</v>
      </c>
      <c r="F90" s="153" t="s">
        <v>78</v>
      </c>
      <c r="G90" s="154"/>
      <c r="H90" s="261" t="s">
        <v>307</v>
      </c>
      <c r="I90" s="155" t="s">
        <v>308</v>
      </c>
      <c r="J90" s="155" t="s">
        <v>309</v>
      </c>
      <c r="K90" s="337" t="s">
        <v>463</v>
      </c>
      <c r="L90" s="481" t="s">
        <v>464</v>
      </c>
      <c r="M90" s="153" t="s">
        <v>83</v>
      </c>
      <c r="N90" s="156" t="s">
        <v>84</v>
      </c>
    </row>
    <row r="91" spans="1:14" x14ac:dyDescent="0.25">
      <c r="A91" s="157" t="s">
        <v>85</v>
      </c>
      <c r="B91" s="158">
        <v>13172</v>
      </c>
      <c r="C91" s="158">
        <v>27083</v>
      </c>
      <c r="D91" s="257">
        <v>67841</v>
      </c>
      <c r="E91" s="257">
        <v>0</v>
      </c>
      <c r="F91" s="159">
        <f>SUM(B91:D91)</f>
        <v>108096</v>
      </c>
      <c r="G91" s="160"/>
      <c r="H91" s="262">
        <v>69971</v>
      </c>
      <c r="I91" s="158">
        <v>42680</v>
      </c>
      <c r="J91" s="158">
        <v>37733</v>
      </c>
      <c r="K91" s="158">
        <v>0</v>
      </c>
      <c r="L91" s="158">
        <v>0</v>
      </c>
      <c r="M91" s="159">
        <f>SUM(H91:L91)</f>
        <v>150384</v>
      </c>
      <c r="N91" s="161">
        <f>+M91+F91</f>
        <v>258480</v>
      </c>
    </row>
    <row r="92" spans="1:14" x14ac:dyDescent="0.25">
      <c r="A92" s="157" t="s">
        <v>86</v>
      </c>
      <c r="B92" s="162">
        <v>10009</v>
      </c>
      <c r="C92" s="158">
        <v>50</v>
      </c>
      <c r="D92" s="258">
        <v>551</v>
      </c>
      <c r="E92" s="258">
        <v>0</v>
      </c>
      <c r="F92" s="159">
        <f>SUM(B92:D92)</f>
        <v>10610</v>
      </c>
      <c r="G92" s="160"/>
      <c r="H92" s="262">
        <v>3045</v>
      </c>
      <c r="I92" s="158">
        <v>48</v>
      </c>
      <c r="J92" s="162">
        <v>536</v>
      </c>
      <c r="K92" s="162">
        <v>0</v>
      </c>
      <c r="L92" s="162">
        <v>0</v>
      </c>
      <c r="M92" s="159">
        <f t="shared" ref="M92:M94" si="3">SUM(H92:L92)</f>
        <v>3629</v>
      </c>
      <c r="N92" s="161">
        <f>+M92+F92</f>
        <v>14239</v>
      </c>
    </row>
    <row r="93" spans="1:14" x14ac:dyDescent="0.25">
      <c r="A93" s="157" t="s">
        <v>87</v>
      </c>
      <c r="B93" s="162">
        <v>2620</v>
      </c>
      <c r="C93" s="162">
        <v>11929</v>
      </c>
      <c r="D93" s="258">
        <v>7899</v>
      </c>
      <c r="E93" s="258">
        <v>0</v>
      </c>
      <c r="F93" s="159">
        <f>SUM(B93:D93)</f>
        <v>22448</v>
      </c>
      <c r="G93" s="160"/>
      <c r="H93" s="263">
        <v>199182</v>
      </c>
      <c r="I93" s="162">
        <v>30802</v>
      </c>
      <c r="J93" s="162">
        <v>32888</v>
      </c>
      <c r="K93" s="162">
        <v>0</v>
      </c>
      <c r="L93" s="162">
        <v>0</v>
      </c>
      <c r="M93" s="159">
        <f t="shared" si="3"/>
        <v>262872</v>
      </c>
      <c r="N93" s="161">
        <f>+M93+F93</f>
        <v>285320</v>
      </c>
    </row>
    <row r="94" spans="1:14" x14ac:dyDescent="0.25">
      <c r="A94" s="157" t="s">
        <v>88</v>
      </c>
      <c r="B94" s="163">
        <f>+B95-B91-B92-B93</f>
        <v>895</v>
      </c>
      <c r="C94" s="163">
        <f>+C95-C93-C92-C91</f>
        <v>3159</v>
      </c>
      <c r="D94" s="259">
        <f>+D95-D93-D92-D91</f>
        <v>13818</v>
      </c>
      <c r="E94" s="259">
        <v>0</v>
      </c>
      <c r="F94" s="164">
        <f>SUM(B94:D94)</f>
        <v>17872</v>
      </c>
      <c r="G94" s="160"/>
      <c r="H94" s="263">
        <f>+H95-H93-H92-H91</f>
        <v>4736</v>
      </c>
      <c r="I94" s="162">
        <f>+I95-I93-I91-I92</f>
        <v>3620</v>
      </c>
      <c r="J94" s="162">
        <f>+J95-J93-J92-J91</f>
        <v>32364</v>
      </c>
      <c r="K94" s="162">
        <v>0</v>
      </c>
      <c r="L94" s="162">
        <v>0</v>
      </c>
      <c r="M94" s="159">
        <f t="shared" si="3"/>
        <v>40720</v>
      </c>
      <c r="N94" s="161">
        <f>+M94+F94</f>
        <v>58592</v>
      </c>
    </row>
    <row r="95" spans="1:14" ht="15.75" thickBot="1" x14ac:dyDescent="0.3">
      <c r="A95" s="165" t="s">
        <v>89</v>
      </c>
      <c r="B95" s="166">
        <v>26696</v>
      </c>
      <c r="C95" s="167">
        <v>42221</v>
      </c>
      <c r="D95" s="167">
        <v>90109</v>
      </c>
      <c r="E95" s="167">
        <f>SUM(E91:E94)</f>
        <v>0</v>
      </c>
      <c r="F95" s="167">
        <f>SUM(B95:D95)</f>
        <v>159026</v>
      </c>
      <c r="G95" s="168"/>
      <c r="H95" s="264">
        <v>276934</v>
      </c>
      <c r="I95" s="166">
        <v>77150</v>
      </c>
      <c r="J95" s="166">
        <v>103521</v>
      </c>
      <c r="K95" s="166">
        <f>SUM(K91:K94)</f>
        <v>0</v>
      </c>
      <c r="L95" s="166">
        <f>SUM(L91:L94)</f>
        <v>0</v>
      </c>
      <c r="M95" s="167">
        <f>SUM(M91:M94)</f>
        <v>457605</v>
      </c>
      <c r="N95" s="186">
        <f>+M95+F95</f>
        <v>616631</v>
      </c>
    </row>
    <row r="96" spans="1:14" ht="15.75" thickBot="1" x14ac:dyDescent="0.3">
      <c r="G96" s="169"/>
    </row>
    <row r="97" spans="1:17" x14ac:dyDescent="0.25">
      <c r="A97" s="170" t="s">
        <v>478</v>
      </c>
      <c r="B97" s="608" t="s">
        <v>73</v>
      </c>
      <c r="C97" s="608"/>
      <c r="D97" s="608"/>
      <c r="E97" s="387"/>
      <c r="F97" s="381"/>
      <c r="G97" s="149"/>
      <c r="H97" s="171" t="s">
        <v>74</v>
      </c>
      <c r="I97" s="171"/>
      <c r="J97" s="171"/>
      <c r="K97" s="171"/>
      <c r="L97" s="171"/>
      <c r="M97" s="171"/>
      <c r="N97" s="172"/>
    </row>
    <row r="98" spans="1:17" ht="30" x14ac:dyDescent="0.25">
      <c r="A98" s="173"/>
      <c r="B98" s="174" t="s">
        <v>75</v>
      </c>
      <c r="C98" s="174" t="s">
        <v>76</v>
      </c>
      <c r="D98" s="174" t="s">
        <v>77</v>
      </c>
      <c r="E98" s="174" t="s">
        <v>434</v>
      </c>
      <c r="F98" s="175" t="s">
        <v>78</v>
      </c>
      <c r="G98" s="154"/>
      <c r="H98" s="176" t="s">
        <v>307</v>
      </c>
      <c r="I98" s="176" t="s">
        <v>308</v>
      </c>
      <c r="J98" s="176" t="s">
        <v>309</v>
      </c>
      <c r="K98" s="482" t="s">
        <v>463</v>
      </c>
      <c r="L98" s="483" t="s">
        <v>464</v>
      </c>
      <c r="M98" s="175" t="s">
        <v>83</v>
      </c>
      <c r="N98" s="177" t="s">
        <v>84</v>
      </c>
    </row>
    <row r="99" spans="1:17" x14ac:dyDescent="0.25">
      <c r="A99" s="178" t="s">
        <v>85</v>
      </c>
      <c r="B99" s="288">
        <f>'LWVCEF-Stmt.of Act. By Class'!H27</f>
        <v>3613.27</v>
      </c>
      <c r="C99" s="288">
        <f>'LWVCEF-Stmt.of Act. By Class'!J27</f>
        <v>7582.66</v>
      </c>
      <c r="D99" s="288">
        <f>'LWVCEF-Stmt.of Act. By Class'!N27</f>
        <v>18596.36</v>
      </c>
      <c r="E99" s="288">
        <f>'LWVCEF-Stmt.of Act. By Class'!AL24</f>
        <v>0</v>
      </c>
      <c r="F99" s="179">
        <f>SUM(B99:E99)</f>
        <v>29792.29</v>
      </c>
      <c r="G99" s="160"/>
      <c r="H99" s="288">
        <f>'LWVCEF-Stmt.of Act. By Class'!P27</f>
        <v>19232.98</v>
      </c>
      <c r="I99" s="288">
        <f>'LWVCEF-Stmt.of Act. By Class'!X27+'LWVCEF-Stmt.of Act. By Class'!Z27+'LWVCEF-Stmt.of Act. By Class'!AF27</f>
        <v>11111.98</v>
      </c>
      <c r="J99" s="288">
        <f>'LWVCEF-Stmt.of Act. By Class'!T27</f>
        <v>9793.68</v>
      </c>
      <c r="K99" s="288">
        <f>'LWVCEF-Stmt.of Act. By Class'!AH27</f>
        <v>0</v>
      </c>
      <c r="L99" s="288">
        <f>'LWVCEF-Stmt.of Act. By Class'!AD27</f>
        <v>0</v>
      </c>
      <c r="M99" s="179">
        <f>SUM(H99:L99)</f>
        <v>40138.639999999999</v>
      </c>
      <c r="N99" s="180">
        <f>+M99+F99</f>
        <v>69930.929999999993</v>
      </c>
    </row>
    <row r="100" spans="1:17" x14ac:dyDescent="0.25">
      <c r="A100" s="178" t="s">
        <v>86</v>
      </c>
      <c r="B100" s="289">
        <v>0</v>
      </c>
      <c r="C100" s="288">
        <v>0</v>
      </c>
      <c r="D100" s="288">
        <v>0</v>
      </c>
      <c r="E100" s="288">
        <v>0</v>
      </c>
      <c r="F100" s="179">
        <f>SUM(B100:E100)</f>
        <v>0</v>
      </c>
      <c r="G100" s="160"/>
      <c r="H100" s="288">
        <f>0</f>
        <v>0</v>
      </c>
      <c r="I100" s="288">
        <v>0</v>
      </c>
      <c r="J100" s="289">
        <v>0</v>
      </c>
      <c r="K100" s="289">
        <v>0</v>
      </c>
      <c r="L100" s="289">
        <v>0</v>
      </c>
      <c r="M100" s="179">
        <f t="shared" ref="M100:M102" si="4">SUM(H100:L100)</f>
        <v>0</v>
      </c>
      <c r="N100" s="180">
        <f t="shared" ref="N100:N102" si="5">+M100+F100</f>
        <v>0</v>
      </c>
    </row>
    <row r="101" spans="1:17" x14ac:dyDescent="0.25">
      <c r="A101" s="178" t="s">
        <v>87</v>
      </c>
      <c r="B101" s="289">
        <f>'LWVCEF-Stmt.of Act. By Class'!H35+'LWVCEF-Stmt.of Act. By Class'!H36</f>
        <v>38.99</v>
      </c>
      <c r="C101" s="289">
        <f>'LWVCEF-Stmt.of Act. By Class'!J35+'LWVCEF-Stmt.of Act. By Class'!J36</f>
        <v>93.89</v>
      </c>
      <c r="D101" s="289">
        <f>'LWVCEF-Stmt.of Act. By Class'!N35+'LWVCEF-Stmt.of Act. By Class'!N36</f>
        <v>1770.9699999999998</v>
      </c>
      <c r="E101" s="289">
        <f>'LWVCEF-Stmt.of Act. By Class'!AL35+'LWVCEF-Stmt.of Act. By Class'!AL36</f>
        <v>0</v>
      </c>
      <c r="F101" s="179">
        <f>SUM(B101:E101)</f>
        <v>1903.85</v>
      </c>
      <c r="G101" s="160"/>
      <c r="H101" s="501">
        <f>'LWVCEF-Stmt.of Act. By Class'!P35+'LWVCEF-Stmt.of Act. By Class'!P36</f>
        <v>195.05</v>
      </c>
      <c r="I101" s="289">
        <f>'LWVCEF-Stmt.of Act. By Class'!X35+'LWVCEF-Stmt.of Act. By Class'!X36+'LWVCEF-Stmt.of Act. By Class'!Z35+'LWVCEF-Stmt.of Act. By Class'!Z36+'LWVCEF-Stmt.of Act. By Class'!AF35+'LWVCEF-Stmt.of Act. By Class'!AF36</f>
        <v>14013.6</v>
      </c>
      <c r="J101" s="289">
        <f>'LWVCEF-Stmt.of Act. By Class'!T35+'LWVCEF-Stmt.of Act. By Class'!T36</f>
        <v>18473.5</v>
      </c>
      <c r="K101" s="289">
        <f>'LWVCEF-Stmt.of Act. By Class'!AH35+'LWVCEF-Stmt.of Act. By Class'!AH36</f>
        <v>10000</v>
      </c>
      <c r="L101" s="289">
        <f>'LWVCEF-Stmt.of Act. By Class'!AD35+'LWVCEF-Stmt.of Act. By Class'!AD36</f>
        <v>5455</v>
      </c>
      <c r="M101" s="179">
        <f>SUM(H101:L101)</f>
        <v>48137.15</v>
      </c>
      <c r="N101" s="180">
        <f t="shared" si="5"/>
        <v>50041</v>
      </c>
      <c r="Q101" s="372"/>
    </row>
    <row r="102" spans="1:17" x14ac:dyDescent="0.25">
      <c r="A102" s="178" t="s">
        <v>88</v>
      </c>
      <c r="B102" s="289">
        <f>+B103-B99-B100-B101</f>
        <v>808.76000000000045</v>
      </c>
      <c r="C102" s="289">
        <f>+C103-C99-C100-C101</f>
        <v>1330.2599999999995</v>
      </c>
      <c r="D102" s="289">
        <f>+D103-D99-D100-D101</f>
        <v>3925.0199999999982</v>
      </c>
      <c r="E102" s="289">
        <f>+E103-E99-E100-E101</f>
        <v>133.47</v>
      </c>
      <c r="F102" s="179">
        <f>SUM(B102:E102)</f>
        <v>6197.5099999999984</v>
      </c>
      <c r="G102" s="160"/>
      <c r="H102" s="289">
        <f>+H103-H99-H100-H101</f>
        <v>1353.3800000000003</v>
      </c>
      <c r="I102" s="289">
        <f>+I103-I101-I100-I99</f>
        <v>2183.6499999999996</v>
      </c>
      <c r="J102" s="289">
        <f>+J103-J99-J100-J101</f>
        <v>1608.8499999999985</v>
      </c>
      <c r="K102" s="289">
        <f t="shared" ref="K102:L102" si="6">+K103-K99-K100-K101</f>
        <v>0</v>
      </c>
      <c r="L102" s="289">
        <f t="shared" si="6"/>
        <v>0</v>
      </c>
      <c r="M102" s="179">
        <f t="shared" si="4"/>
        <v>5145.8799999999983</v>
      </c>
      <c r="N102" s="180">
        <f t="shared" si="5"/>
        <v>11343.389999999996</v>
      </c>
      <c r="Q102" s="372"/>
    </row>
    <row r="103" spans="1:17" ht="15.75" thickBot="1" x14ac:dyDescent="0.3">
      <c r="A103" s="181" t="s">
        <v>90</v>
      </c>
      <c r="B103" s="182">
        <f>'LWVCEF-Stmt.of Act. By Class'!H37</f>
        <v>4461.0200000000004</v>
      </c>
      <c r="C103" s="183">
        <f>'LWVCEF-Stmt.of Act. By Class'!J37</f>
        <v>9006.81</v>
      </c>
      <c r="D103" s="183">
        <f>'LWVCEF-Stmt.of Act. By Class'!N37</f>
        <v>24292.35</v>
      </c>
      <c r="E103" s="183">
        <f>'LWVCEF-Stmt.of Act. By Class'!AL37</f>
        <v>133.47</v>
      </c>
      <c r="F103" s="182">
        <f>SUM(B103:E103)</f>
        <v>37893.65</v>
      </c>
      <c r="G103" s="168" t="s">
        <v>310</v>
      </c>
      <c r="H103" s="182">
        <f>'LWVCEF-Stmt.of Act. By Class'!P37</f>
        <v>20781.41</v>
      </c>
      <c r="I103" s="182">
        <f>'LWVCEF-Stmt.of Act. By Class'!X37+'LWVCEF-Stmt.of Act. By Class'!Z37+'LWVCEF-Stmt.of Act. By Class'!AF37</f>
        <v>27309.23</v>
      </c>
      <c r="J103" s="182">
        <f>'LWVCEF-Stmt.of Act. By Class'!T37</f>
        <v>29876.03</v>
      </c>
      <c r="K103" s="182">
        <f>'LWVCEF-Stmt.of Act. By Class'!AH37</f>
        <v>10000</v>
      </c>
      <c r="L103" s="182">
        <f>'LWVCEF-Stmt.of Act. By Class'!AD37</f>
        <v>5455</v>
      </c>
      <c r="M103" s="182">
        <f>SUM(M99:M102)</f>
        <v>93421.670000000013</v>
      </c>
      <c r="N103" s="182">
        <f>+M103+F103</f>
        <v>131315.32</v>
      </c>
      <c r="P103" s="75"/>
      <c r="Q103" s="372"/>
    </row>
    <row r="104" spans="1:17" ht="15.75" thickBot="1" x14ac:dyDescent="0.3">
      <c r="G104" s="169"/>
      <c r="O104" s="75"/>
    </row>
    <row r="105" spans="1:17" x14ac:dyDescent="0.25">
      <c r="A105" s="184" t="s">
        <v>483</v>
      </c>
      <c r="B105" s="607" t="s">
        <v>73</v>
      </c>
      <c r="C105" s="607"/>
      <c r="D105" s="607"/>
      <c r="E105" s="386"/>
      <c r="F105" s="380"/>
      <c r="G105" s="149"/>
      <c r="H105" s="150" t="s">
        <v>74</v>
      </c>
      <c r="I105" s="150"/>
      <c r="J105" s="150"/>
      <c r="K105" s="150"/>
      <c r="L105" s="150"/>
      <c r="M105" s="150"/>
      <c r="N105" s="151"/>
    </row>
    <row r="106" spans="1:17" ht="30" x14ac:dyDescent="0.25">
      <c r="A106" s="73"/>
      <c r="B106" s="152" t="s">
        <v>75</v>
      </c>
      <c r="C106" s="152" t="s">
        <v>76</v>
      </c>
      <c r="D106" s="152" t="s">
        <v>77</v>
      </c>
      <c r="E106" s="152"/>
      <c r="F106" s="153" t="s">
        <v>78</v>
      </c>
      <c r="G106" s="154"/>
      <c r="H106" s="155" t="s">
        <v>307</v>
      </c>
      <c r="I106" s="155" t="s">
        <v>308</v>
      </c>
      <c r="J106" s="155" t="s">
        <v>309</v>
      </c>
      <c r="K106" s="337" t="s">
        <v>463</v>
      </c>
      <c r="L106" s="481" t="s">
        <v>464</v>
      </c>
      <c r="M106" s="153" t="s">
        <v>83</v>
      </c>
      <c r="N106" s="156" t="s">
        <v>84</v>
      </c>
    </row>
    <row r="107" spans="1:17" x14ac:dyDescent="0.25">
      <c r="A107" s="157" t="s">
        <v>85</v>
      </c>
      <c r="B107" s="158">
        <f>+B91-B99</f>
        <v>9558.73</v>
      </c>
      <c r="C107" s="158">
        <f t="shared" ref="C107:N107" si="7">+C91-C99</f>
        <v>19500.34</v>
      </c>
      <c r="D107" s="158">
        <f t="shared" si="7"/>
        <v>49244.639999999999</v>
      </c>
      <c r="E107" s="158">
        <f>+E91-E99</f>
        <v>0</v>
      </c>
      <c r="F107" s="159">
        <f>SUM(B107:E107)</f>
        <v>78303.709999999992</v>
      </c>
      <c r="G107" s="160"/>
      <c r="H107" s="158">
        <f t="shared" si="7"/>
        <v>50738.020000000004</v>
      </c>
      <c r="I107" s="158">
        <f t="shared" si="7"/>
        <v>31568.02</v>
      </c>
      <c r="J107" s="158">
        <f t="shared" si="7"/>
        <v>27939.32</v>
      </c>
      <c r="K107" s="158">
        <f t="shared" si="7"/>
        <v>0</v>
      </c>
      <c r="L107" s="158">
        <f t="shared" si="7"/>
        <v>0</v>
      </c>
      <c r="M107" s="159">
        <f>+M91-M99</f>
        <v>110245.36</v>
      </c>
      <c r="N107" s="185">
        <f t="shared" si="7"/>
        <v>188549.07</v>
      </c>
    </row>
    <row r="108" spans="1:17" x14ac:dyDescent="0.25">
      <c r="A108" s="157" t="s">
        <v>86</v>
      </c>
      <c r="B108" s="158">
        <f t="shared" ref="B108:N111" si="8">+B92-B100</f>
        <v>10009</v>
      </c>
      <c r="C108" s="158">
        <f t="shared" si="8"/>
        <v>50</v>
      </c>
      <c r="D108" s="158">
        <f t="shared" si="8"/>
        <v>551</v>
      </c>
      <c r="E108" s="158">
        <f>+E92-E100</f>
        <v>0</v>
      </c>
      <c r="F108" s="159">
        <f>SUM(B108:E108)</f>
        <v>10610</v>
      </c>
      <c r="G108" s="160"/>
      <c r="H108" s="158">
        <f t="shared" si="8"/>
        <v>3045</v>
      </c>
      <c r="I108" s="158">
        <f t="shared" si="8"/>
        <v>48</v>
      </c>
      <c r="J108" s="158">
        <f t="shared" si="8"/>
        <v>536</v>
      </c>
      <c r="K108" s="158">
        <f t="shared" si="8"/>
        <v>0</v>
      </c>
      <c r="L108" s="158">
        <f t="shared" si="8"/>
        <v>0</v>
      </c>
      <c r="M108" s="159">
        <f t="shared" si="8"/>
        <v>3629</v>
      </c>
      <c r="N108" s="185">
        <f t="shared" si="8"/>
        <v>14239</v>
      </c>
    </row>
    <row r="109" spans="1:17" x14ac:dyDescent="0.25">
      <c r="A109" s="157" t="s">
        <v>87</v>
      </c>
      <c r="B109" s="158">
        <f t="shared" si="8"/>
        <v>2581.0100000000002</v>
      </c>
      <c r="C109" s="158">
        <f t="shared" si="8"/>
        <v>11835.11</v>
      </c>
      <c r="D109" s="158">
        <f t="shared" si="8"/>
        <v>6128.0300000000007</v>
      </c>
      <c r="E109" s="158">
        <f>+E93-E101</f>
        <v>0</v>
      </c>
      <c r="F109" s="159">
        <f>SUM(B109:E109)</f>
        <v>20544.150000000001</v>
      </c>
      <c r="G109" s="160"/>
      <c r="H109" s="158">
        <f t="shared" si="8"/>
        <v>198986.95</v>
      </c>
      <c r="I109" s="158">
        <f t="shared" si="8"/>
        <v>16788.400000000001</v>
      </c>
      <c r="J109" s="158">
        <f t="shared" si="8"/>
        <v>14414.5</v>
      </c>
      <c r="K109" s="158">
        <f t="shared" ref="K109:L109" si="9">+K93-K101</f>
        <v>-10000</v>
      </c>
      <c r="L109" s="158">
        <f t="shared" si="9"/>
        <v>-5455</v>
      </c>
      <c r="M109" s="159">
        <f t="shared" si="8"/>
        <v>214734.85</v>
      </c>
      <c r="N109" s="185">
        <f t="shared" si="8"/>
        <v>235279</v>
      </c>
    </row>
    <row r="110" spans="1:17" x14ac:dyDescent="0.25">
      <c r="A110" s="157" t="s">
        <v>88</v>
      </c>
      <c r="B110" s="158">
        <f t="shared" si="8"/>
        <v>86.239999999999554</v>
      </c>
      <c r="C110" s="158">
        <f t="shared" si="8"/>
        <v>1828.7400000000005</v>
      </c>
      <c r="D110" s="158">
        <f t="shared" si="8"/>
        <v>9892.9800000000014</v>
      </c>
      <c r="E110" s="158">
        <f>+E94-E102</f>
        <v>-133.47</v>
      </c>
      <c r="F110" s="159">
        <f>SUM(B110:E110)</f>
        <v>11674.490000000002</v>
      </c>
      <c r="G110" s="160"/>
      <c r="H110" s="158">
        <f t="shared" si="8"/>
        <v>3382.62</v>
      </c>
      <c r="I110" s="158">
        <f t="shared" si="8"/>
        <v>1436.3500000000004</v>
      </c>
      <c r="J110" s="158">
        <f t="shared" si="8"/>
        <v>30755.15</v>
      </c>
      <c r="K110" s="158">
        <f t="shared" ref="K110:L110" si="10">+K94-K102</f>
        <v>0</v>
      </c>
      <c r="L110" s="158">
        <f t="shared" si="10"/>
        <v>0</v>
      </c>
      <c r="M110" s="159">
        <f t="shared" si="8"/>
        <v>35574.120000000003</v>
      </c>
      <c r="N110" s="185">
        <f t="shared" si="8"/>
        <v>47248.61</v>
      </c>
    </row>
    <row r="111" spans="1:17" ht="15.75" thickBot="1" x14ac:dyDescent="0.3">
      <c r="A111" s="165" t="s">
        <v>311</v>
      </c>
      <c r="B111" s="166">
        <f>+B95-B103</f>
        <v>22234.98</v>
      </c>
      <c r="C111" s="166">
        <f t="shared" si="8"/>
        <v>33214.19</v>
      </c>
      <c r="D111" s="166">
        <f t="shared" si="8"/>
        <v>65816.649999999994</v>
      </c>
      <c r="E111" s="166">
        <f>+E95-E103</f>
        <v>-133.47</v>
      </c>
      <c r="F111" s="166">
        <f>SUM(B111:E111)</f>
        <v>121132.34999999999</v>
      </c>
      <c r="G111" s="168"/>
      <c r="H111" s="166">
        <f t="shared" si="8"/>
        <v>256152.59</v>
      </c>
      <c r="I111" s="166">
        <f t="shared" si="8"/>
        <v>49840.770000000004</v>
      </c>
      <c r="J111" s="166">
        <f t="shared" si="8"/>
        <v>73644.97</v>
      </c>
      <c r="K111" s="166">
        <f t="shared" ref="K111:L111" si="11">+K95-K103</f>
        <v>-10000</v>
      </c>
      <c r="L111" s="166">
        <f t="shared" si="11"/>
        <v>-5455</v>
      </c>
      <c r="M111" s="166">
        <f>+M95-M103</f>
        <v>364183.32999999996</v>
      </c>
      <c r="N111" s="186">
        <f>+N95-N103</f>
        <v>485315.68</v>
      </c>
    </row>
    <row r="112" spans="1:17" ht="15.75" thickBot="1" x14ac:dyDescent="0.3">
      <c r="G112" s="169"/>
    </row>
    <row r="113" spans="1:16" x14ac:dyDescent="0.25">
      <c r="A113" s="184" t="s">
        <v>480</v>
      </c>
      <c r="B113" s="607" t="s">
        <v>73</v>
      </c>
      <c r="C113" s="607"/>
      <c r="D113" s="607"/>
      <c r="E113" s="386"/>
      <c r="F113" s="187"/>
      <c r="G113" s="149"/>
      <c r="H113" s="150" t="s">
        <v>74</v>
      </c>
      <c r="I113" s="150"/>
      <c r="J113" s="150"/>
      <c r="K113" s="150"/>
      <c r="L113" s="150"/>
      <c r="M113" s="150"/>
      <c r="N113" s="188"/>
    </row>
    <row r="114" spans="1:16" ht="30" x14ac:dyDescent="0.25">
      <c r="A114" s="73"/>
      <c r="B114" s="152" t="s">
        <v>75</v>
      </c>
      <c r="C114" s="152" t="s">
        <v>76</v>
      </c>
      <c r="D114" s="152" t="s">
        <v>77</v>
      </c>
      <c r="E114" s="152" t="s">
        <v>434</v>
      </c>
      <c r="F114" s="153" t="s">
        <v>78</v>
      </c>
      <c r="G114" s="154"/>
      <c r="H114" s="155" t="s">
        <v>307</v>
      </c>
      <c r="I114" s="155" t="s">
        <v>308</v>
      </c>
      <c r="J114" s="155" t="s">
        <v>309</v>
      </c>
      <c r="K114" s="337" t="s">
        <v>463</v>
      </c>
      <c r="L114" s="481" t="s">
        <v>464</v>
      </c>
      <c r="M114" s="153" t="s">
        <v>83</v>
      </c>
      <c r="N114" s="156" t="s">
        <v>84</v>
      </c>
    </row>
    <row r="115" spans="1:16" x14ac:dyDescent="0.25">
      <c r="A115" s="157" t="s">
        <v>85</v>
      </c>
      <c r="B115" s="189">
        <f>+B99/B91</f>
        <v>0.27431445490434253</v>
      </c>
      <c r="C115" s="189">
        <f>+C99/C91</f>
        <v>0.27997858435180739</v>
      </c>
      <c r="D115" s="189">
        <f>+D99/D91</f>
        <v>0.27411683200424525</v>
      </c>
      <c r="E115" s="189"/>
      <c r="F115" s="190">
        <f>+F99/F91</f>
        <v>0.27560955076968624</v>
      </c>
      <c r="G115" s="191"/>
      <c r="H115" s="190">
        <f>+H99/H91</f>
        <v>0.27487073216046648</v>
      </c>
      <c r="I115" s="190">
        <f>+I99/I91</f>
        <v>0.2603556701030928</v>
      </c>
      <c r="J115" s="190">
        <f>+J99/J91</f>
        <v>0.25955211618477197</v>
      </c>
      <c r="K115" s="190"/>
      <c r="L115" s="190"/>
      <c r="M115" s="190">
        <f>+M99/M91</f>
        <v>0.26690764974997339</v>
      </c>
      <c r="N115" s="192">
        <f>+N99/N91</f>
        <v>0.27054677344475392</v>
      </c>
      <c r="P115" s="189"/>
    </row>
    <row r="116" spans="1:16" x14ac:dyDescent="0.25">
      <c r="A116" s="157" t="s">
        <v>86</v>
      </c>
      <c r="B116" s="189">
        <f t="shared" ref="B116:N119" si="12">+B100/B92</f>
        <v>0</v>
      </c>
      <c r="C116" s="189">
        <f t="shared" si="12"/>
        <v>0</v>
      </c>
      <c r="D116" s="189">
        <f t="shared" si="12"/>
        <v>0</v>
      </c>
      <c r="E116" s="189"/>
      <c r="F116" s="190">
        <f>+F100/F92</f>
        <v>0</v>
      </c>
      <c r="G116" s="191"/>
      <c r="H116" s="189" t="s">
        <v>312</v>
      </c>
      <c r="I116" s="189">
        <f t="shared" si="12"/>
        <v>0</v>
      </c>
      <c r="J116" s="189">
        <f>+J100/J92</f>
        <v>0</v>
      </c>
      <c r="K116" s="189"/>
      <c r="L116" s="189"/>
      <c r="M116" s="190">
        <f t="shared" si="12"/>
        <v>0</v>
      </c>
      <c r="N116" s="192">
        <f t="shared" si="12"/>
        <v>0</v>
      </c>
    </row>
    <row r="117" spans="1:16" x14ac:dyDescent="0.25">
      <c r="A117" s="157" t="s">
        <v>87</v>
      </c>
      <c r="B117" s="189">
        <f t="shared" si="12"/>
        <v>1.4881679389312978E-2</v>
      </c>
      <c r="C117" s="189">
        <f t="shared" si="12"/>
        <v>7.870735183167072E-3</v>
      </c>
      <c r="D117" s="189">
        <f t="shared" si="12"/>
        <v>0.22420179769591084</v>
      </c>
      <c r="E117" s="189"/>
      <c r="F117" s="190">
        <f>+F101/F93</f>
        <v>8.4811564504632925E-2</v>
      </c>
      <c r="G117" s="191"/>
      <c r="H117" s="189">
        <f t="shared" si="12"/>
        <v>9.7925515357813464E-4</v>
      </c>
      <c r="I117" s="189">
        <f t="shared" si="12"/>
        <v>0.45495747029413675</v>
      </c>
      <c r="J117" s="189">
        <f>+J101/J93</f>
        <v>0.5617094380929214</v>
      </c>
      <c r="K117" s="189"/>
      <c r="L117" s="189"/>
      <c r="M117" s="190">
        <f t="shared" si="12"/>
        <v>0.18312011168933931</v>
      </c>
      <c r="N117" s="192">
        <f t="shared" si="12"/>
        <v>0.1753855320342072</v>
      </c>
    </row>
    <row r="118" spans="1:16" x14ac:dyDescent="0.25">
      <c r="A118" s="157" t="s">
        <v>88</v>
      </c>
      <c r="B118" s="190">
        <f t="shared" si="12"/>
        <v>0.90364245810055921</v>
      </c>
      <c r="C118" s="190">
        <f>+C102/C94</f>
        <v>0.42110161443494765</v>
      </c>
      <c r="D118" s="190">
        <f t="shared" si="12"/>
        <v>0.28405123751628297</v>
      </c>
      <c r="E118" s="190"/>
      <c r="F118" s="190">
        <f>+F102/F94</f>
        <v>0.34677204565801245</v>
      </c>
      <c r="G118" s="191"/>
      <c r="H118" s="190">
        <f t="shared" si="12"/>
        <v>0.28576435810810819</v>
      </c>
      <c r="I118" s="190">
        <f t="shared" si="12"/>
        <v>0.60321823204419878</v>
      </c>
      <c r="J118" s="190">
        <f>+J102/J94</f>
        <v>4.9711098751699372E-2</v>
      </c>
      <c r="K118" s="190"/>
      <c r="L118" s="190"/>
      <c r="M118" s="190">
        <f t="shared" si="12"/>
        <v>0.12637229862475438</v>
      </c>
      <c r="N118" s="192">
        <f t="shared" si="12"/>
        <v>0.19359963817586012</v>
      </c>
    </row>
    <row r="119" spans="1:16" ht="15.75" thickBot="1" x14ac:dyDescent="0.3">
      <c r="A119" s="165" t="s">
        <v>313</v>
      </c>
      <c r="B119" s="193">
        <f t="shared" si="12"/>
        <v>0.16710443512136652</v>
      </c>
      <c r="C119" s="193">
        <f t="shared" si="12"/>
        <v>0.21332535941829894</v>
      </c>
      <c r="D119" s="193">
        <f t="shared" si="12"/>
        <v>0.26958849837419124</v>
      </c>
      <c r="E119" s="193"/>
      <c r="F119" s="193">
        <f>+F103/F95</f>
        <v>0.23828587778099181</v>
      </c>
      <c r="G119" s="191"/>
      <c r="H119" s="193">
        <f t="shared" si="12"/>
        <v>7.5041020604187283E-2</v>
      </c>
      <c r="I119" s="193">
        <f t="shared" si="12"/>
        <v>0.35397576150356447</v>
      </c>
      <c r="J119" s="193">
        <f t="shared" si="12"/>
        <v>0.28859873842022388</v>
      </c>
      <c r="K119" s="193"/>
      <c r="L119" s="193"/>
      <c r="M119" s="193">
        <f t="shared" si="12"/>
        <v>0.20415351667923212</v>
      </c>
      <c r="N119" s="194">
        <f t="shared" si="12"/>
        <v>0.21295607908133066</v>
      </c>
      <c r="O119" s="189"/>
    </row>
  </sheetData>
  <mergeCells count="4">
    <mergeCell ref="B89:D89"/>
    <mergeCell ref="B97:D97"/>
    <mergeCell ref="B105:D105"/>
    <mergeCell ref="B113:D113"/>
  </mergeCells>
  <pageMargins left="0.25" right="0.25" top="0.75" bottom="0.75" header="0.3" footer="0.3"/>
  <pageSetup scale="80" orientation="landscape" r:id="rId1"/>
  <rowBreaks count="1" manualBreakCount="1">
    <brk id="8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0"/>
  <sheetViews>
    <sheetView topLeftCell="A11" zoomScaleNormal="100" workbookViewId="0">
      <pane xSplit="4" topLeftCell="S1" activePane="topRight" state="frozen"/>
      <selection pane="topRight" activeCell="AB37" sqref="AB37"/>
    </sheetView>
  </sheetViews>
  <sheetFormatPr defaultRowHeight="15" x14ac:dyDescent="0.25"/>
  <cols>
    <col min="1" max="6" width="3" style="361" customWidth="1"/>
    <col min="7" max="7" width="35.140625" style="361" customWidth="1"/>
    <col min="8" max="8" width="16.42578125" style="362" bestFit="1" customWidth="1"/>
    <col min="9" max="9" width="2.28515625" style="362" customWidth="1"/>
    <col min="10" max="10" width="21.42578125" style="362" bestFit="1" customWidth="1"/>
    <col min="11" max="11" width="2.28515625" style="362" customWidth="1"/>
    <col min="12" max="12" width="19.7109375" style="362" bestFit="1" customWidth="1"/>
    <col min="13" max="13" width="2.28515625" style="362" customWidth="1"/>
    <col min="14" max="14" width="15.42578125" style="362" bestFit="1" customWidth="1"/>
    <col min="15" max="15" width="2.28515625" style="362" customWidth="1"/>
    <col min="16" max="16" width="22.42578125" style="362" bestFit="1" customWidth="1"/>
    <col min="17" max="17" width="2.28515625" style="362" customWidth="1"/>
    <col min="18" max="18" width="18.42578125" style="362" bestFit="1" customWidth="1"/>
    <col min="19" max="19" width="2.28515625" style="362" customWidth="1"/>
    <col min="20" max="20" width="18.42578125" style="362" bestFit="1" customWidth="1"/>
    <col min="21" max="21" width="2.28515625" style="362" customWidth="1"/>
    <col min="22" max="22" width="16.85546875" style="362" bestFit="1" customWidth="1"/>
    <col min="23" max="23" width="2.28515625" style="362" customWidth="1"/>
    <col min="24" max="24" width="16.85546875" style="362" bestFit="1" customWidth="1"/>
    <col min="25" max="25" width="2.28515625" style="362" customWidth="1"/>
    <col min="26" max="26" width="21.85546875" style="362" bestFit="1" customWidth="1"/>
    <col min="27" max="27" width="2.28515625" style="362" customWidth="1"/>
    <col min="28" max="28" width="20.140625" style="362" bestFit="1" customWidth="1"/>
    <col min="29" max="29" width="2.28515625" style="362" customWidth="1"/>
    <col min="30" max="30" width="14.85546875" style="362" bestFit="1" customWidth="1"/>
    <col min="31" max="31" width="2.28515625" style="362" customWidth="1"/>
    <col min="32" max="32" width="14.7109375" style="362" bestFit="1" customWidth="1"/>
    <col min="33" max="33" width="2.28515625" style="362" customWidth="1"/>
    <col min="34" max="34" width="14.42578125" style="362" bestFit="1" customWidth="1"/>
    <col min="35" max="35" width="2.28515625" style="362" customWidth="1"/>
    <col min="36" max="36" width="17.28515625" style="362" bestFit="1" customWidth="1"/>
    <col min="37" max="37" width="2.28515625" style="362" customWidth="1"/>
    <col min="38" max="38" width="7.85546875" style="362" bestFit="1" customWidth="1"/>
    <col min="39" max="39" width="2.28515625" style="362" customWidth="1"/>
    <col min="40" max="40" width="8.7109375" style="362" bestFit="1" customWidth="1"/>
    <col min="41" max="41" width="9.140625" style="360"/>
    <col min="42" max="42" width="14.42578125" style="360" customWidth="1"/>
    <col min="43" max="43" width="19.42578125" style="360" bestFit="1" customWidth="1"/>
    <col min="44" max="44" width="9.85546875" style="360" bestFit="1" customWidth="1"/>
    <col min="45" max="16384" width="9.140625" style="360"/>
  </cols>
  <sheetData>
    <row r="1" spans="1:44" s="364" customFormat="1" x14ac:dyDescent="0.25">
      <c r="A1" s="363"/>
      <c r="B1" s="363"/>
      <c r="C1" s="363"/>
      <c r="D1" s="363"/>
      <c r="E1" s="363"/>
      <c r="F1" s="363"/>
      <c r="G1" s="363"/>
      <c r="H1" s="363" t="s">
        <v>103</v>
      </c>
      <c r="I1" s="272"/>
      <c r="J1" s="363" t="s">
        <v>104</v>
      </c>
      <c r="K1" s="272"/>
      <c r="L1" s="272"/>
      <c r="M1" s="272"/>
      <c r="N1" s="272"/>
      <c r="O1" s="272"/>
      <c r="P1" s="363" t="s">
        <v>448</v>
      </c>
      <c r="Q1" s="272"/>
      <c r="R1" s="363" t="s">
        <v>320</v>
      </c>
      <c r="S1" s="272"/>
      <c r="T1" s="363" t="s">
        <v>449</v>
      </c>
      <c r="U1" s="272"/>
      <c r="V1" s="363" t="s">
        <v>321</v>
      </c>
      <c r="W1" s="272"/>
      <c r="X1" s="363" t="s">
        <v>322</v>
      </c>
      <c r="Y1" s="272"/>
      <c r="Z1" s="363" t="s">
        <v>323</v>
      </c>
      <c r="AA1" s="272"/>
      <c r="AB1" s="363" t="s">
        <v>324</v>
      </c>
      <c r="AC1" s="272"/>
      <c r="AD1" s="363" t="s">
        <v>460</v>
      </c>
      <c r="AE1" s="272"/>
      <c r="AF1" s="363" t="s">
        <v>450</v>
      </c>
      <c r="AG1" s="272"/>
      <c r="AH1" s="363" t="s">
        <v>461</v>
      </c>
      <c r="AI1" s="272"/>
      <c r="AJ1" s="272"/>
      <c r="AK1" s="272"/>
      <c r="AL1" s="272"/>
      <c r="AM1" s="272"/>
      <c r="AN1" s="272"/>
      <c r="AP1" s="478"/>
      <c r="AQ1" s="379"/>
      <c r="AR1" s="391" t="s">
        <v>486</v>
      </c>
    </row>
    <row r="2" spans="1:44" s="364" customFormat="1" ht="15.75" thickBot="1" x14ac:dyDescent="0.3">
      <c r="A2" s="363"/>
      <c r="B2" s="363"/>
      <c r="C2" s="363"/>
      <c r="D2" s="363"/>
      <c r="E2" s="363"/>
      <c r="F2" s="363"/>
      <c r="G2" s="363"/>
      <c r="H2" s="301" t="s">
        <v>119</v>
      </c>
      <c r="I2" s="272"/>
      <c r="J2" s="301" t="s">
        <v>119</v>
      </c>
      <c r="K2" s="272"/>
      <c r="L2" s="301" t="s">
        <v>120</v>
      </c>
      <c r="M2" s="272"/>
      <c r="N2" s="301" t="s">
        <v>328</v>
      </c>
      <c r="O2" s="272"/>
      <c r="P2" s="301" t="s">
        <v>123</v>
      </c>
      <c r="Q2" s="272"/>
      <c r="R2" s="301" t="s">
        <v>330</v>
      </c>
      <c r="S2" s="272"/>
      <c r="T2" s="301" t="s">
        <v>330</v>
      </c>
      <c r="U2" s="272"/>
      <c r="V2" s="301" t="s">
        <v>331</v>
      </c>
      <c r="W2" s="272"/>
      <c r="X2" s="301" t="s">
        <v>331</v>
      </c>
      <c r="Y2" s="272"/>
      <c r="Z2" s="301" t="s">
        <v>331</v>
      </c>
      <c r="AA2" s="272"/>
      <c r="AB2" s="301" t="s">
        <v>123</v>
      </c>
      <c r="AC2" s="272"/>
      <c r="AD2" s="301" t="s">
        <v>123</v>
      </c>
      <c r="AE2" s="272"/>
      <c r="AF2" s="301" t="s">
        <v>123</v>
      </c>
      <c r="AG2" s="272"/>
      <c r="AH2" s="301" t="s">
        <v>123</v>
      </c>
      <c r="AI2" s="272"/>
      <c r="AJ2" s="301" t="s">
        <v>126</v>
      </c>
      <c r="AK2" s="272"/>
      <c r="AL2" s="301" t="s">
        <v>432</v>
      </c>
      <c r="AM2" s="272"/>
      <c r="AN2" s="301" t="s">
        <v>129</v>
      </c>
      <c r="AP2" s="587" t="s">
        <v>276</v>
      </c>
      <c r="AQ2" s="588" t="s">
        <v>296</v>
      </c>
      <c r="AR2" s="587" t="s">
        <v>333</v>
      </c>
    </row>
    <row r="3" spans="1:44" ht="15.75" thickTop="1" x14ac:dyDescent="0.25">
      <c r="A3" s="369"/>
      <c r="B3" s="369" t="s">
        <v>130</v>
      </c>
      <c r="C3" s="369"/>
      <c r="D3" s="369"/>
      <c r="E3" s="369"/>
      <c r="F3" s="369"/>
      <c r="G3" s="369"/>
      <c r="H3" s="366"/>
      <c r="I3" s="274"/>
      <c r="J3" s="366"/>
      <c r="K3" s="274"/>
      <c r="L3" s="366"/>
      <c r="M3" s="274"/>
      <c r="N3" s="366"/>
      <c r="O3" s="274"/>
      <c r="P3" s="366"/>
      <c r="Q3" s="274"/>
      <c r="R3" s="366"/>
      <c r="S3" s="274"/>
      <c r="T3" s="366"/>
      <c r="U3" s="274"/>
      <c r="V3" s="366"/>
      <c r="W3" s="274"/>
      <c r="X3" s="366"/>
      <c r="Y3" s="274"/>
      <c r="Z3" s="366"/>
      <c r="AA3" s="274"/>
      <c r="AB3" s="366"/>
      <c r="AC3" s="274"/>
      <c r="AD3" s="366"/>
      <c r="AE3" s="274"/>
      <c r="AF3" s="366"/>
      <c r="AG3" s="274"/>
      <c r="AH3" s="366"/>
      <c r="AI3" s="274"/>
      <c r="AJ3" s="366"/>
      <c r="AK3" s="274"/>
      <c r="AL3" s="366"/>
      <c r="AM3" s="274"/>
      <c r="AN3" s="366"/>
      <c r="AP3" s="589"/>
      <c r="AQ3" s="589"/>
      <c r="AR3" s="589"/>
    </row>
    <row r="4" spans="1:44" x14ac:dyDescent="0.25">
      <c r="A4" s="369"/>
      <c r="B4" s="369"/>
      <c r="C4" s="369"/>
      <c r="D4" s="369" t="s">
        <v>131</v>
      </c>
      <c r="E4" s="369"/>
      <c r="F4" s="369"/>
      <c r="G4" s="369"/>
      <c r="H4" s="366"/>
      <c r="I4" s="274"/>
      <c r="J4" s="366"/>
      <c r="K4" s="274"/>
      <c r="L4" s="366"/>
      <c r="M4" s="274"/>
      <c r="N4" s="366"/>
      <c r="O4" s="274"/>
      <c r="P4" s="366"/>
      <c r="Q4" s="274"/>
      <c r="R4" s="366"/>
      <c r="S4" s="274"/>
      <c r="T4" s="366"/>
      <c r="U4" s="274"/>
      <c r="V4" s="366"/>
      <c r="W4" s="274"/>
      <c r="X4" s="366"/>
      <c r="Y4" s="274"/>
      <c r="Z4" s="366"/>
      <c r="AA4" s="274"/>
      <c r="AB4" s="366"/>
      <c r="AC4" s="274"/>
      <c r="AD4" s="366"/>
      <c r="AE4" s="274"/>
      <c r="AF4" s="366"/>
      <c r="AG4" s="274"/>
      <c r="AH4" s="366"/>
      <c r="AI4" s="274"/>
      <c r="AJ4" s="366"/>
      <c r="AK4" s="274"/>
      <c r="AL4" s="366"/>
      <c r="AM4" s="274"/>
      <c r="AN4" s="366"/>
      <c r="AP4" s="590"/>
      <c r="AQ4" s="591"/>
      <c r="AR4" s="590"/>
    </row>
    <row r="5" spans="1:44" x14ac:dyDescent="0.25">
      <c r="A5" s="369"/>
      <c r="B5" s="369"/>
      <c r="C5" s="369"/>
      <c r="D5" s="369"/>
      <c r="E5" s="369" t="s">
        <v>133</v>
      </c>
      <c r="F5" s="369"/>
      <c r="G5" s="369"/>
      <c r="H5" s="366"/>
      <c r="I5" s="274"/>
      <c r="J5" s="366"/>
      <c r="K5" s="274"/>
      <c r="L5" s="366"/>
      <c r="M5" s="274"/>
      <c r="N5" s="366"/>
      <c r="O5" s="274"/>
      <c r="P5" s="366"/>
      <c r="Q5" s="274"/>
      <c r="R5" s="366"/>
      <c r="S5" s="274"/>
      <c r="T5" s="366"/>
      <c r="U5" s="274"/>
      <c r="V5" s="366"/>
      <c r="W5" s="274"/>
      <c r="X5" s="366"/>
      <c r="Y5" s="274"/>
      <c r="Z5" s="366"/>
      <c r="AA5" s="274"/>
      <c r="AB5" s="366"/>
      <c r="AC5" s="274"/>
      <c r="AD5" s="366"/>
      <c r="AE5" s="274"/>
      <c r="AF5" s="366"/>
      <c r="AG5" s="274"/>
      <c r="AH5" s="366"/>
      <c r="AI5" s="274"/>
      <c r="AJ5" s="366"/>
      <c r="AK5" s="274"/>
      <c r="AL5" s="366"/>
      <c r="AM5" s="274"/>
      <c r="AN5" s="366"/>
      <c r="AP5" s="590"/>
      <c r="AQ5" s="591"/>
      <c r="AR5" s="590"/>
    </row>
    <row r="6" spans="1:44" x14ac:dyDescent="0.25">
      <c r="A6" s="369"/>
      <c r="B6" s="369"/>
      <c r="C6" s="369"/>
      <c r="D6" s="369"/>
      <c r="E6" s="369"/>
      <c r="F6" s="369" t="s">
        <v>334</v>
      </c>
      <c r="G6" s="369"/>
      <c r="H6" s="366"/>
      <c r="I6" s="274"/>
      <c r="J6" s="366"/>
      <c r="K6" s="274"/>
      <c r="L6" s="366"/>
      <c r="M6" s="274"/>
      <c r="N6" s="366"/>
      <c r="O6" s="274"/>
      <c r="P6" s="366"/>
      <c r="Q6" s="274"/>
      <c r="R6" s="366"/>
      <c r="S6" s="274"/>
      <c r="T6" s="366"/>
      <c r="U6" s="274"/>
      <c r="V6" s="366"/>
      <c r="W6" s="274"/>
      <c r="X6" s="366"/>
      <c r="Y6" s="274"/>
      <c r="Z6" s="366"/>
      <c r="AA6" s="274"/>
      <c r="AB6" s="366"/>
      <c r="AC6" s="274"/>
      <c r="AD6" s="366"/>
      <c r="AE6" s="274"/>
      <c r="AF6" s="366"/>
      <c r="AG6" s="274"/>
      <c r="AH6" s="366"/>
      <c r="AI6" s="274"/>
      <c r="AJ6" s="366"/>
      <c r="AK6" s="274"/>
      <c r="AL6" s="366"/>
      <c r="AM6" s="274"/>
      <c r="AN6" s="366"/>
      <c r="AP6" s="590">
        <f>AN6-AQ6</f>
        <v>0</v>
      </c>
      <c r="AQ6" s="591">
        <f>AD6+AF6+AH6</f>
        <v>0</v>
      </c>
      <c r="AR6" s="590">
        <f t="shared" ref="AR6:AR14" si="0">AP6+AQ6</f>
        <v>0</v>
      </c>
    </row>
    <row r="7" spans="1:44" x14ac:dyDescent="0.25">
      <c r="A7" s="369"/>
      <c r="B7" s="369"/>
      <c r="C7" s="369"/>
      <c r="D7" s="369"/>
      <c r="E7" s="369"/>
      <c r="F7" s="369"/>
      <c r="G7" s="369" t="s">
        <v>335</v>
      </c>
      <c r="H7" s="366">
        <v>0</v>
      </c>
      <c r="I7" s="274"/>
      <c r="J7" s="366">
        <v>4703.42</v>
      </c>
      <c r="K7" s="274"/>
      <c r="L7" s="366">
        <f t="shared" ref="L7:L14" si="1">ROUND(SUM(H7:J7),5)</f>
        <v>4703.42</v>
      </c>
      <c r="M7" s="274"/>
      <c r="N7" s="366">
        <v>0</v>
      </c>
      <c r="O7" s="274"/>
      <c r="P7" s="366">
        <v>0</v>
      </c>
      <c r="Q7" s="274"/>
      <c r="R7" s="366">
        <v>0</v>
      </c>
      <c r="S7" s="274"/>
      <c r="T7" s="366">
        <v>0</v>
      </c>
      <c r="U7" s="274"/>
      <c r="V7" s="366">
        <f t="shared" ref="V7:V14" si="2">ROUND(SUM(R7:T7),5)</f>
        <v>0</v>
      </c>
      <c r="W7" s="274"/>
      <c r="X7" s="366">
        <v>0</v>
      </c>
      <c r="Y7" s="274"/>
      <c r="Z7" s="366">
        <v>0</v>
      </c>
      <c r="AA7" s="274"/>
      <c r="AB7" s="366">
        <f t="shared" ref="AB7:AB14" si="3">ROUND(SUM(V7:Z7),5)</f>
        <v>0</v>
      </c>
      <c r="AC7" s="274"/>
      <c r="AD7" s="366">
        <v>0</v>
      </c>
      <c r="AE7" s="274"/>
      <c r="AF7" s="366">
        <v>0</v>
      </c>
      <c r="AG7" s="274"/>
      <c r="AH7" s="366">
        <v>0</v>
      </c>
      <c r="AI7" s="274"/>
      <c r="AJ7" s="366">
        <f t="shared" ref="AJ7:AJ14" si="4">ROUND(P7+SUM(AB7:AH7),5)</f>
        <v>0</v>
      </c>
      <c r="AK7" s="274"/>
      <c r="AL7" s="366">
        <v>0</v>
      </c>
      <c r="AM7" s="274"/>
      <c r="AN7" s="366">
        <f t="shared" ref="AN7:AN14" si="5">ROUND(SUM(L7:N7)+SUM(AJ7:AL7),5)</f>
        <v>4703.42</v>
      </c>
      <c r="AP7" s="590">
        <f>AN7-AQ7</f>
        <v>4703.42</v>
      </c>
      <c r="AQ7" s="591">
        <f>AD7+AF7+AH7</f>
        <v>0</v>
      </c>
      <c r="AR7" s="590">
        <f t="shared" si="0"/>
        <v>4703.42</v>
      </c>
    </row>
    <row r="8" spans="1:44" ht="15.75" thickBot="1" x14ac:dyDescent="0.3">
      <c r="A8" s="369"/>
      <c r="B8" s="369"/>
      <c r="C8" s="369"/>
      <c r="D8" s="369"/>
      <c r="E8" s="369"/>
      <c r="F8" s="369"/>
      <c r="G8" s="369" t="s">
        <v>446</v>
      </c>
      <c r="H8" s="275">
        <v>0</v>
      </c>
      <c r="I8" s="274"/>
      <c r="J8" s="275">
        <v>157.5</v>
      </c>
      <c r="K8" s="274"/>
      <c r="L8" s="275">
        <f t="shared" si="1"/>
        <v>157.5</v>
      </c>
      <c r="M8" s="274"/>
      <c r="N8" s="275">
        <v>0</v>
      </c>
      <c r="O8" s="274"/>
      <c r="P8" s="275">
        <v>0</v>
      </c>
      <c r="Q8" s="274"/>
      <c r="R8" s="275">
        <v>0</v>
      </c>
      <c r="S8" s="274"/>
      <c r="T8" s="275">
        <v>0</v>
      </c>
      <c r="U8" s="274"/>
      <c r="V8" s="275">
        <f t="shared" si="2"/>
        <v>0</v>
      </c>
      <c r="W8" s="274"/>
      <c r="X8" s="275">
        <v>0</v>
      </c>
      <c r="Y8" s="274"/>
      <c r="Z8" s="275">
        <v>0</v>
      </c>
      <c r="AA8" s="274"/>
      <c r="AB8" s="275">
        <f t="shared" si="3"/>
        <v>0</v>
      </c>
      <c r="AC8" s="274"/>
      <c r="AD8" s="275">
        <v>0</v>
      </c>
      <c r="AE8" s="274"/>
      <c r="AF8" s="275">
        <v>0</v>
      </c>
      <c r="AG8" s="274"/>
      <c r="AH8" s="275">
        <v>0</v>
      </c>
      <c r="AI8" s="274"/>
      <c r="AJ8" s="275">
        <f t="shared" si="4"/>
        <v>0</v>
      </c>
      <c r="AK8" s="274"/>
      <c r="AL8" s="275">
        <v>0</v>
      </c>
      <c r="AM8" s="274"/>
      <c r="AN8" s="275">
        <f t="shared" si="5"/>
        <v>157.5</v>
      </c>
      <c r="AP8" s="590">
        <f>AN8-AQ8</f>
        <v>157.5</v>
      </c>
      <c r="AQ8" s="591">
        <f>AD8+AF8+AH8</f>
        <v>0</v>
      </c>
      <c r="AR8" s="590">
        <f t="shared" si="0"/>
        <v>157.5</v>
      </c>
    </row>
    <row r="9" spans="1:44" x14ac:dyDescent="0.25">
      <c r="A9" s="369"/>
      <c r="B9" s="369"/>
      <c r="C9" s="369"/>
      <c r="D9" s="369"/>
      <c r="E9" s="369"/>
      <c r="F9" s="369" t="s">
        <v>336</v>
      </c>
      <c r="G9" s="369"/>
      <c r="H9" s="366">
        <f>ROUND(SUM(H6:H8),5)</f>
        <v>0</v>
      </c>
      <c r="I9" s="274"/>
      <c r="J9" s="366">
        <f>ROUND(SUM(J6:J8),5)</f>
        <v>4860.92</v>
      </c>
      <c r="K9" s="274"/>
      <c r="L9" s="366">
        <f t="shared" si="1"/>
        <v>4860.92</v>
      </c>
      <c r="M9" s="274"/>
      <c r="N9" s="366">
        <f>ROUND(SUM(N6:N8),5)</f>
        <v>0</v>
      </c>
      <c r="O9" s="274"/>
      <c r="P9" s="366">
        <f>ROUND(SUM(P6:P8),5)</f>
        <v>0</v>
      </c>
      <c r="Q9" s="274"/>
      <c r="R9" s="366">
        <f>ROUND(SUM(R6:R8),5)</f>
        <v>0</v>
      </c>
      <c r="S9" s="274"/>
      <c r="T9" s="366">
        <f>ROUND(SUM(T6:T8),5)</f>
        <v>0</v>
      </c>
      <c r="U9" s="274"/>
      <c r="V9" s="366">
        <f t="shared" si="2"/>
        <v>0</v>
      </c>
      <c r="W9" s="274"/>
      <c r="X9" s="366">
        <f>ROUND(SUM(X6:X8),5)</f>
        <v>0</v>
      </c>
      <c r="Y9" s="274"/>
      <c r="Z9" s="366">
        <f>ROUND(SUM(Z6:Z8),5)</f>
        <v>0</v>
      </c>
      <c r="AA9" s="274"/>
      <c r="AB9" s="366">
        <f t="shared" si="3"/>
        <v>0</v>
      </c>
      <c r="AC9" s="274"/>
      <c r="AD9" s="366">
        <f>ROUND(SUM(AD6:AD8),5)</f>
        <v>0</v>
      </c>
      <c r="AE9" s="274"/>
      <c r="AF9" s="366">
        <f>ROUND(SUM(AF6:AF8),5)</f>
        <v>0</v>
      </c>
      <c r="AG9" s="274"/>
      <c r="AH9" s="366">
        <f>ROUND(SUM(AH6:AH8),5)</f>
        <v>0</v>
      </c>
      <c r="AI9" s="274"/>
      <c r="AJ9" s="366">
        <f t="shared" si="4"/>
        <v>0</v>
      </c>
      <c r="AK9" s="274"/>
      <c r="AL9" s="366">
        <f>ROUND(SUM(AL6:AL8),5)</f>
        <v>0</v>
      </c>
      <c r="AM9" s="274"/>
      <c r="AN9" s="366">
        <f t="shared" si="5"/>
        <v>4860.92</v>
      </c>
      <c r="AP9" s="592">
        <f>SUM(AP6:AP8)</f>
        <v>4860.92</v>
      </c>
      <c r="AQ9" s="592">
        <f>SUM(AQ6:AQ8)</f>
        <v>0</v>
      </c>
      <c r="AR9" s="592">
        <f t="shared" si="0"/>
        <v>4860.92</v>
      </c>
    </row>
    <row r="10" spans="1:44" x14ac:dyDescent="0.25">
      <c r="A10" s="369"/>
      <c r="B10" s="369"/>
      <c r="C10" s="369"/>
      <c r="D10" s="369"/>
      <c r="E10" s="369"/>
      <c r="F10" s="369" t="s">
        <v>337</v>
      </c>
      <c r="G10" s="369"/>
      <c r="H10" s="366">
        <v>0</v>
      </c>
      <c r="I10" s="274"/>
      <c r="J10" s="366">
        <v>0</v>
      </c>
      <c r="K10" s="274"/>
      <c r="L10" s="366">
        <f t="shared" si="1"/>
        <v>0</v>
      </c>
      <c r="M10" s="274"/>
      <c r="N10" s="366">
        <v>0</v>
      </c>
      <c r="O10" s="274"/>
      <c r="P10" s="366">
        <v>0</v>
      </c>
      <c r="Q10" s="274"/>
      <c r="R10" s="366">
        <v>0</v>
      </c>
      <c r="S10" s="274"/>
      <c r="T10" s="366">
        <v>0</v>
      </c>
      <c r="U10" s="274"/>
      <c r="V10" s="366">
        <f t="shared" si="2"/>
        <v>0</v>
      </c>
      <c r="W10" s="274"/>
      <c r="X10" s="366">
        <v>0</v>
      </c>
      <c r="Y10" s="274"/>
      <c r="Z10" s="366">
        <v>0</v>
      </c>
      <c r="AA10" s="274"/>
      <c r="AB10" s="366">
        <f t="shared" si="3"/>
        <v>0</v>
      </c>
      <c r="AC10" s="274"/>
      <c r="AD10" s="366">
        <v>0</v>
      </c>
      <c r="AE10" s="274"/>
      <c r="AF10" s="366">
        <v>4650</v>
      </c>
      <c r="AG10" s="274"/>
      <c r="AH10" s="366">
        <v>0</v>
      </c>
      <c r="AI10" s="274"/>
      <c r="AJ10" s="366">
        <f t="shared" si="4"/>
        <v>4650</v>
      </c>
      <c r="AK10" s="274"/>
      <c r="AL10" s="366">
        <v>0</v>
      </c>
      <c r="AM10" s="274"/>
      <c r="AN10" s="366">
        <f t="shared" si="5"/>
        <v>4650</v>
      </c>
      <c r="AP10" s="590">
        <f>AN10-AQ10</f>
        <v>0</v>
      </c>
      <c r="AQ10" s="591">
        <f>AD10+AF10+AH10</f>
        <v>4650</v>
      </c>
      <c r="AR10" s="590">
        <f t="shared" si="0"/>
        <v>4650</v>
      </c>
    </row>
    <row r="11" spans="1:44" x14ac:dyDescent="0.25">
      <c r="A11" s="369"/>
      <c r="B11" s="369"/>
      <c r="C11" s="369"/>
      <c r="D11" s="369"/>
      <c r="E11" s="369"/>
      <c r="F11" s="369" t="s">
        <v>339</v>
      </c>
      <c r="G11" s="369"/>
      <c r="H11" s="366">
        <v>0</v>
      </c>
      <c r="I11" s="274"/>
      <c r="J11" s="366">
        <v>0</v>
      </c>
      <c r="K11" s="274"/>
      <c r="L11" s="366">
        <f t="shared" si="1"/>
        <v>0</v>
      </c>
      <c r="M11" s="274"/>
      <c r="N11" s="366">
        <v>41653.879999999997</v>
      </c>
      <c r="O11" s="274"/>
      <c r="P11" s="366">
        <v>0</v>
      </c>
      <c r="Q11" s="274"/>
      <c r="R11" s="366">
        <v>0</v>
      </c>
      <c r="S11" s="274"/>
      <c r="T11" s="366">
        <v>0</v>
      </c>
      <c r="U11" s="274"/>
      <c r="V11" s="366">
        <f t="shared" si="2"/>
        <v>0</v>
      </c>
      <c r="W11" s="274"/>
      <c r="X11" s="366">
        <v>0</v>
      </c>
      <c r="Y11" s="274"/>
      <c r="Z11" s="366">
        <v>0</v>
      </c>
      <c r="AA11" s="274"/>
      <c r="AB11" s="366">
        <f t="shared" si="3"/>
        <v>0</v>
      </c>
      <c r="AC11" s="274"/>
      <c r="AD11" s="366">
        <v>0</v>
      </c>
      <c r="AE11" s="274"/>
      <c r="AF11" s="366">
        <v>0</v>
      </c>
      <c r="AG11" s="274"/>
      <c r="AH11" s="366">
        <v>0</v>
      </c>
      <c r="AI11" s="274"/>
      <c r="AJ11" s="366">
        <f t="shared" si="4"/>
        <v>0</v>
      </c>
      <c r="AK11" s="274"/>
      <c r="AL11" s="366">
        <v>0</v>
      </c>
      <c r="AM11" s="274"/>
      <c r="AN11" s="366">
        <f t="shared" si="5"/>
        <v>41653.879999999997</v>
      </c>
      <c r="AP11" s="590">
        <f>AN11-AQ11</f>
        <v>41653.879999999997</v>
      </c>
      <c r="AQ11" s="591">
        <f>AD11+AF11+AH11</f>
        <v>0</v>
      </c>
      <c r="AR11" s="590">
        <f t="shared" si="0"/>
        <v>41653.879999999997</v>
      </c>
    </row>
    <row r="12" spans="1:44" x14ac:dyDescent="0.25">
      <c r="A12" s="369"/>
      <c r="B12" s="369"/>
      <c r="C12" s="369"/>
      <c r="D12" s="369"/>
      <c r="E12" s="369"/>
      <c r="F12" s="369" t="s">
        <v>340</v>
      </c>
      <c r="G12" s="369"/>
      <c r="H12" s="366">
        <v>0</v>
      </c>
      <c r="I12" s="274"/>
      <c r="J12" s="366">
        <v>0</v>
      </c>
      <c r="K12" s="274"/>
      <c r="L12" s="366">
        <f t="shared" si="1"/>
        <v>0</v>
      </c>
      <c r="M12" s="274"/>
      <c r="N12" s="366">
        <v>0</v>
      </c>
      <c r="O12" s="274"/>
      <c r="P12" s="366">
        <v>0</v>
      </c>
      <c r="Q12" s="274"/>
      <c r="R12" s="366">
        <v>0</v>
      </c>
      <c r="S12" s="274"/>
      <c r="T12" s="366">
        <v>0</v>
      </c>
      <c r="U12" s="274"/>
      <c r="V12" s="366">
        <f t="shared" si="2"/>
        <v>0</v>
      </c>
      <c r="W12" s="274"/>
      <c r="X12" s="366">
        <v>0</v>
      </c>
      <c r="Y12" s="274"/>
      <c r="Z12" s="366">
        <v>0</v>
      </c>
      <c r="AA12" s="274"/>
      <c r="AB12" s="366">
        <f t="shared" si="3"/>
        <v>0</v>
      </c>
      <c r="AC12" s="274"/>
      <c r="AD12" s="366">
        <v>0</v>
      </c>
      <c r="AE12" s="274"/>
      <c r="AF12" s="366">
        <v>2368</v>
      </c>
      <c r="AG12" s="274"/>
      <c r="AH12" s="366">
        <v>0</v>
      </c>
      <c r="AI12" s="274"/>
      <c r="AJ12" s="366">
        <f t="shared" si="4"/>
        <v>2368</v>
      </c>
      <c r="AK12" s="274"/>
      <c r="AL12" s="366">
        <v>0</v>
      </c>
      <c r="AM12" s="274"/>
      <c r="AN12" s="366">
        <f t="shared" si="5"/>
        <v>2368</v>
      </c>
      <c r="AP12" s="590">
        <f>AN12-AQ12</f>
        <v>0</v>
      </c>
      <c r="AQ12" s="591">
        <f>AD12+AF12+AH12</f>
        <v>2368</v>
      </c>
      <c r="AR12" s="590">
        <f t="shared" si="0"/>
        <v>2368</v>
      </c>
    </row>
    <row r="13" spans="1:44" ht="15.75" thickBot="1" x14ac:dyDescent="0.3">
      <c r="A13" s="369"/>
      <c r="B13" s="369"/>
      <c r="C13" s="369"/>
      <c r="D13" s="369"/>
      <c r="E13" s="369"/>
      <c r="F13" s="369" t="s">
        <v>175</v>
      </c>
      <c r="G13" s="369"/>
      <c r="H13" s="275">
        <v>0</v>
      </c>
      <c r="I13" s="274"/>
      <c r="J13" s="275">
        <v>0</v>
      </c>
      <c r="K13" s="274"/>
      <c r="L13" s="275">
        <f t="shared" si="1"/>
        <v>0</v>
      </c>
      <c r="M13" s="274"/>
      <c r="N13" s="275">
        <v>0</v>
      </c>
      <c r="O13" s="274"/>
      <c r="P13" s="275">
        <v>0</v>
      </c>
      <c r="Q13" s="274"/>
      <c r="R13" s="275">
        <v>0</v>
      </c>
      <c r="S13" s="274"/>
      <c r="T13" s="275">
        <v>4750</v>
      </c>
      <c r="U13" s="274"/>
      <c r="V13" s="275">
        <f t="shared" si="2"/>
        <v>4750</v>
      </c>
      <c r="W13" s="274"/>
      <c r="X13" s="275">
        <v>0</v>
      </c>
      <c r="Y13" s="274"/>
      <c r="Z13" s="275">
        <v>0</v>
      </c>
      <c r="AA13" s="274"/>
      <c r="AB13" s="275">
        <f t="shared" si="3"/>
        <v>4750</v>
      </c>
      <c r="AC13" s="274"/>
      <c r="AD13" s="275">
        <v>20000</v>
      </c>
      <c r="AE13" s="274"/>
      <c r="AF13" s="275">
        <v>0</v>
      </c>
      <c r="AG13" s="274"/>
      <c r="AH13" s="275">
        <v>60000</v>
      </c>
      <c r="AI13" s="274"/>
      <c r="AJ13" s="275">
        <f t="shared" si="4"/>
        <v>84750</v>
      </c>
      <c r="AK13" s="274"/>
      <c r="AL13" s="275">
        <v>0</v>
      </c>
      <c r="AM13" s="274"/>
      <c r="AN13" s="275">
        <f t="shared" si="5"/>
        <v>84750</v>
      </c>
      <c r="AP13" s="590">
        <f>AN13-AQ13</f>
        <v>0</v>
      </c>
      <c r="AQ13" s="591">
        <f>AD13+AF13+AH13+R13+V13</f>
        <v>84750</v>
      </c>
      <c r="AR13" s="590">
        <f t="shared" si="0"/>
        <v>84750</v>
      </c>
    </row>
    <row r="14" spans="1:44" x14ac:dyDescent="0.25">
      <c r="A14" s="369"/>
      <c r="B14" s="369"/>
      <c r="C14" s="369"/>
      <c r="D14" s="369"/>
      <c r="E14" s="369" t="s">
        <v>176</v>
      </c>
      <c r="F14" s="369"/>
      <c r="G14" s="369"/>
      <c r="H14" s="366">
        <f>ROUND(H5+SUM(H9:H13),5)</f>
        <v>0</v>
      </c>
      <c r="I14" s="274"/>
      <c r="J14" s="366">
        <f>ROUND(J5+SUM(J9:J13),5)</f>
        <v>4860.92</v>
      </c>
      <c r="K14" s="274"/>
      <c r="L14" s="366">
        <f t="shared" si="1"/>
        <v>4860.92</v>
      </c>
      <c r="M14" s="274"/>
      <c r="N14" s="366">
        <f>ROUND(N5+SUM(N9:N13),5)</f>
        <v>41653.879999999997</v>
      </c>
      <c r="O14" s="274"/>
      <c r="P14" s="366">
        <f>ROUND(P5+SUM(P9:P13),5)</f>
        <v>0</v>
      </c>
      <c r="Q14" s="274"/>
      <c r="R14" s="366">
        <f>ROUND(R5+SUM(R9:R13),5)</f>
        <v>0</v>
      </c>
      <c r="S14" s="274"/>
      <c r="T14" s="366">
        <f>ROUND(T5+SUM(T9:T13),5)</f>
        <v>4750</v>
      </c>
      <c r="U14" s="274"/>
      <c r="V14" s="366">
        <f t="shared" si="2"/>
        <v>4750</v>
      </c>
      <c r="W14" s="274"/>
      <c r="X14" s="366">
        <f>ROUND(X5+SUM(X9:X13),5)</f>
        <v>0</v>
      </c>
      <c r="Y14" s="274"/>
      <c r="Z14" s="366">
        <f>ROUND(Z5+SUM(Z9:Z13),5)</f>
        <v>0</v>
      </c>
      <c r="AA14" s="274"/>
      <c r="AB14" s="366">
        <f t="shared" si="3"/>
        <v>4750</v>
      </c>
      <c r="AC14" s="274"/>
      <c r="AD14" s="366">
        <f>ROUND(AD5+SUM(AD9:AD13),5)</f>
        <v>20000</v>
      </c>
      <c r="AE14" s="274"/>
      <c r="AF14" s="366">
        <f>ROUND(AF5+SUM(AF9:AF13),5)</f>
        <v>7018</v>
      </c>
      <c r="AG14" s="274"/>
      <c r="AH14" s="366">
        <f>ROUND(AH5+SUM(AH9:AH13),5)</f>
        <v>60000</v>
      </c>
      <c r="AI14" s="274"/>
      <c r="AJ14" s="366">
        <f t="shared" si="4"/>
        <v>91768</v>
      </c>
      <c r="AK14" s="274"/>
      <c r="AL14" s="366">
        <f>ROUND(AL5+SUM(AL9:AL13),5)</f>
        <v>0</v>
      </c>
      <c r="AM14" s="274"/>
      <c r="AN14" s="366">
        <f t="shared" si="5"/>
        <v>138282.79999999999</v>
      </c>
      <c r="AP14" s="592">
        <f>SUM(AP9:AP13)</f>
        <v>46514.799999999996</v>
      </c>
      <c r="AQ14" s="592">
        <f>SUM(AQ9:AQ13)</f>
        <v>91768</v>
      </c>
      <c r="AR14" s="592">
        <f t="shared" si="0"/>
        <v>138282.79999999999</v>
      </c>
    </row>
    <row r="15" spans="1:44" x14ac:dyDescent="0.25">
      <c r="A15" s="369"/>
      <c r="B15" s="369"/>
      <c r="C15" s="369"/>
      <c r="D15" s="369"/>
      <c r="E15" s="369" t="s">
        <v>341</v>
      </c>
      <c r="F15" s="369"/>
      <c r="G15" s="369"/>
      <c r="H15" s="366"/>
      <c r="I15" s="274"/>
      <c r="J15" s="366"/>
      <c r="K15" s="274"/>
      <c r="L15" s="366"/>
      <c r="M15" s="274"/>
      <c r="N15" s="366"/>
      <c r="O15" s="274"/>
      <c r="P15" s="366"/>
      <c r="Q15" s="274"/>
      <c r="R15" s="366"/>
      <c r="S15" s="274"/>
      <c r="T15" s="366"/>
      <c r="U15" s="274"/>
      <c r="V15" s="366"/>
      <c r="W15" s="274"/>
      <c r="X15" s="366"/>
      <c r="Y15" s="274"/>
      <c r="Z15" s="366"/>
      <c r="AA15" s="274"/>
      <c r="AB15" s="366"/>
      <c r="AC15" s="274"/>
      <c r="AD15" s="366"/>
      <c r="AE15" s="274"/>
      <c r="AF15" s="366"/>
      <c r="AG15" s="274"/>
      <c r="AH15" s="366"/>
      <c r="AI15" s="274"/>
      <c r="AJ15" s="366"/>
      <c r="AK15" s="274"/>
      <c r="AL15" s="366"/>
      <c r="AM15" s="274"/>
      <c r="AN15" s="366"/>
      <c r="AP15" s="590"/>
      <c r="AQ15" s="591"/>
      <c r="AR15" s="590"/>
    </row>
    <row r="16" spans="1:44" x14ac:dyDescent="0.25">
      <c r="A16" s="369"/>
      <c r="B16" s="369"/>
      <c r="C16" s="369"/>
      <c r="D16" s="369"/>
      <c r="E16" s="369"/>
      <c r="F16" s="369" t="s">
        <v>342</v>
      </c>
      <c r="G16" s="369"/>
      <c r="H16" s="366">
        <v>0</v>
      </c>
      <c r="I16" s="274"/>
      <c r="J16" s="366">
        <v>0</v>
      </c>
      <c r="K16" s="274"/>
      <c r="L16" s="366">
        <f t="shared" ref="L16:L24" si="6">ROUND(SUM(H16:J16),5)</f>
        <v>0</v>
      </c>
      <c r="M16" s="274"/>
      <c r="N16" s="366">
        <v>0</v>
      </c>
      <c r="O16" s="274"/>
      <c r="P16" s="366">
        <v>0</v>
      </c>
      <c r="Q16" s="274"/>
      <c r="R16" s="366">
        <v>0</v>
      </c>
      <c r="S16" s="274"/>
      <c r="T16" s="366">
        <v>0</v>
      </c>
      <c r="U16" s="274"/>
      <c r="V16" s="366">
        <f t="shared" ref="V16:V24" si="7">ROUND(SUM(R16:T16),5)</f>
        <v>0</v>
      </c>
      <c r="W16" s="274"/>
      <c r="X16" s="366">
        <v>0</v>
      </c>
      <c r="Y16" s="274"/>
      <c r="Z16" s="366">
        <v>17192</v>
      </c>
      <c r="AA16" s="274"/>
      <c r="AB16" s="366">
        <f t="shared" ref="AB16:AB24" si="8">ROUND(SUM(V16:Z16),5)</f>
        <v>17192</v>
      </c>
      <c r="AC16" s="274"/>
      <c r="AD16" s="366">
        <v>0</v>
      </c>
      <c r="AE16" s="274"/>
      <c r="AF16" s="366">
        <v>0</v>
      </c>
      <c r="AG16" s="274"/>
      <c r="AH16" s="366">
        <v>0</v>
      </c>
      <c r="AI16" s="274"/>
      <c r="AJ16" s="366">
        <f t="shared" ref="AJ16:AJ24" si="9">ROUND(P16+SUM(AB16:AH16),5)</f>
        <v>17192</v>
      </c>
      <c r="AK16" s="274"/>
      <c r="AL16" s="366">
        <v>0</v>
      </c>
      <c r="AM16" s="274"/>
      <c r="AN16" s="366">
        <f t="shared" ref="AN16:AN24" si="10">ROUND(SUM(L16:N16)+SUM(AJ16:AL16),5)</f>
        <v>17192</v>
      </c>
      <c r="AP16" s="590">
        <f>AN16-AQ16</f>
        <v>17192</v>
      </c>
      <c r="AQ16" s="591">
        <f>AD16+AF16+AH16</f>
        <v>0</v>
      </c>
      <c r="AR16" s="590">
        <f t="shared" ref="AR16:AR24" si="11">AP16+AQ16</f>
        <v>17192</v>
      </c>
    </row>
    <row r="17" spans="1:44" x14ac:dyDescent="0.25">
      <c r="A17" s="369"/>
      <c r="B17" s="369"/>
      <c r="C17" s="369"/>
      <c r="D17" s="369"/>
      <c r="E17" s="369"/>
      <c r="F17" s="369" t="s">
        <v>178</v>
      </c>
      <c r="G17" s="369"/>
      <c r="H17" s="366">
        <v>0</v>
      </c>
      <c r="I17" s="274"/>
      <c r="J17" s="366">
        <v>0</v>
      </c>
      <c r="K17" s="274"/>
      <c r="L17" s="366">
        <f t="shared" si="6"/>
        <v>0</v>
      </c>
      <c r="M17" s="274"/>
      <c r="N17" s="366">
        <v>0</v>
      </c>
      <c r="O17" s="274"/>
      <c r="P17" s="366">
        <v>0</v>
      </c>
      <c r="Q17" s="274"/>
      <c r="R17" s="366">
        <v>0</v>
      </c>
      <c r="S17" s="274"/>
      <c r="T17" s="366">
        <v>0</v>
      </c>
      <c r="U17" s="274"/>
      <c r="V17" s="366">
        <f t="shared" si="7"/>
        <v>0</v>
      </c>
      <c r="W17" s="274"/>
      <c r="X17" s="366">
        <v>0</v>
      </c>
      <c r="Y17" s="274"/>
      <c r="Z17" s="366">
        <v>2749.81</v>
      </c>
      <c r="AA17" s="274"/>
      <c r="AB17" s="366">
        <f t="shared" si="8"/>
        <v>2749.81</v>
      </c>
      <c r="AC17" s="274"/>
      <c r="AD17" s="366">
        <v>0</v>
      </c>
      <c r="AE17" s="274"/>
      <c r="AF17" s="366">
        <v>0</v>
      </c>
      <c r="AG17" s="274"/>
      <c r="AH17" s="366">
        <v>0</v>
      </c>
      <c r="AI17" s="274"/>
      <c r="AJ17" s="366">
        <f t="shared" si="9"/>
        <v>2749.81</v>
      </c>
      <c r="AK17" s="274"/>
      <c r="AL17" s="366">
        <v>0</v>
      </c>
      <c r="AM17" s="274"/>
      <c r="AN17" s="366">
        <f t="shared" si="10"/>
        <v>2749.81</v>
      </c>
      <c r="AP17" s="590">
        <f>AN17-AQ17</f>
        <v>2749.81</v>
      </c>
      <c r="AQ17" s="591">
        <f>AD17+AF17+AH17</f>
        <v>0</v>
      </c>
      <c r="AR17" s="590">
        <f t="shared" si="11"/>
        <v>2749.81</v>
      </c>
    </row>
    <row r="18" spans="1:44" x14ac:dyDescent="0.25">
      <c r="A18" s="369"/>
      <c r="B18" s="369"/>
      <c r="C18" s="369"/>
      <c r="D18" s="369"/>
      <c r="E18" s="369"/>
      <c r="F18" s="369" t="s">
        <v>179</v>
      </c>
      <c r="G18" s="369"/>
      <c r="H18" s="366">
        <v>0</v>
      </c>
      <c r="I18" s="274"/>
      <c r="J18" s="366">
        <v>0</v>
      </c>
      <c r="K18" s="274"/>
      <c r="L18" s="366">
        <f t="shared" si="6"/>
        <v>0</v>
      </c>
      <c r="M18" s="274"/>
      <c r="N18" s="366">
        <v>0</v>
      </c>
      <c r="O18" s="274"/>
      <c r="P18" s="366">
        <v>0</v>
      </c>
      <c r="Q18" s="274"/>
      <c r="R18" s="366">
        <v>0</v>
      </c>
      <c r="S18" s="274"/>
      <c r="T18" s="366">
        <v>0</v>
      </c>
      <c r="U18" s="274"/>
      <c r="V18" s="366">
        <f t="shared" si="7"/>
        <v>0</v>
      </c>
      <c r="W18" s="274"/>
      <c r="X18" s="366">
        <v>0</v>
      </c>
      <c r="Y18" s="274"/>
      <c r="Z18" s="366">
        <v>2678.54</v>
      </c>
      <c r="AA18" s="274"/>
      <c r="AB18" s="366">
        <f t="shared" si="8"/>
        <v>2678.54</v>
      </c>
      <c r="AC18" s="274"/>
      <c r="AD18" s="366">
        <v>0</v>
      </c>
      <c r="AE18" s="274"/>
      <c r="AF18" s="366">
        <v>0</v>
      </c>
      <c r="AG18" s="274"/>
      <c r="AH18" s="366">
        <v>0</v>
      </c>
      <c r="AI18" s="274"/>
      <c r="AJ18" s="366">
        <f t="shared" si="9"/>
        <v>2678.54</v>
      </c>
      <c r="AK18" s="274"/>
      <c r="AL18" s="366">
        <v>0</v>
      </c>
      <c r="AM18" s="274"/>
      <c r="AN18" s="366">
        <f t="shared" si="10"/>
        <v>2678.54</v>
      </c>
      <c r="AP18" s="590">
        <f>AN18-AQ18</f>
        <v>2678.54</v>
      </c>
      <c r="AQ18" s="591">
        <f>AD18+AF18+AH18</f>
        <v>0</v>
      </c>
      <c r="AR18" s="590">
        <f t="shared" si="11"/>
        <v>2678.54</v>
      </c>
    </row>
    <row r="19" spans="1:44" ht="15.75" thickBot="1" x14ac:dyDescent="0.3">
      <c r="A19" s="369"/>
      <c r="B19" s="369"/>
      <c r="C19" s="369"/>
      <c r="D19" s="369"/>
      <c r="E19" s="369"/>
      <c r="F19" s="369" t="s">
        <v>343</v>
      </c>
      <c r="G19" s="369"/>
      <c r="H19" s="275">
        <v>0</v>
      </c>
      <c r="I19" s="274"/>
      <c r="J19" s="275">
        <v>0</v>
      </c>
      <c r="K19" s="274"/>
      <c r="L19" s="275">
        <f t="shared" si="6"/>
        <v>0</v>
      </c>
      <c r="M19" s="274"/>
      <c r="N19" s="275">
        <v>0</v>
      </c>
      <c r="O19" s="274"/>
      <c r="P19" s="275">
        <v>0</v>
      </c>
      <c r="Q19" s="274"/>
      <c r="R19" s="275">
        <v>0</v>
      </c>
      <c r="S19" s="274"/>
      <c r="T19" s="275">
        <v>0</v>
      </c>
      <c r="U19" s="274"/>
      <c r="V19" s="275">
        <f t="shared" si="7"/>
        <v>0</v>
      </c>
      <c r="W19" s="274"/>
      <c r="X19" s="275">
        <v>0</v>
      </c>
      <c r="Y19" s="274"/>
      <c r="Z19" s="275">
        <v>5000</v>
      </c>
      <c r="AA19" s="274"/>
      <c r="AB19" s="275">
        <f t="shared" si="8"/>
        <v>5000</v>
      </c>
      <c r="AC19" s="274"/>
      <c r="AD19" s="275">
        <v>0</v>
      </c>
      <c r="AE19" s="274"/>
      <c r="AF19" s="275">
        <v>0</v>
      </c>
      <c r="AG19" s="274"/>
      <c r="AH19" s="275">
        <v>0</v>
      </c>
      <c r="AI19" s="274"/>
      <c r="AJ19" s="275">
        <f t="shared" si="9"/>
        <v>5000</v>
      </c>
      <c r="AK19" s="274"/>
      <c r="AL19" s="275">
        <v>0</v>
      </c>
      <c r="AM19" s="274"/>
      <c r="AN19" s="275">
        <f t="shared" si="10"/>
        <v>5000</v>
      </c>
      <c r="AP19" s="590">
        <f>AN19-AQ19</f>
        <v>5000</v>
      </c>
      <c r="AQ19" s="591">
        <f>AD19+AF19+AH19</f>
        <v>0</v>
      </c>
      <c r="AR19" s="590">
        <f t="shared" si="11"/>
        <v>5000</v>
      </c>
    </row>
    <row r="20" spans="1:44" x14ac:dyDescent="0.25">
      <c r="A20" s="369"/>
      <c r="B20" s="369"/>
      <c r="C20" s="369"/>
      <c r="D20" s="369"/>
      <c r="E20" s="369" t="s">
        <v>344</v>
      </c>
      <c r="F20" s="369"/>
      <c r="G20" s="369"/>
      <c r="H20" s="366">
        <f>ROUND(SUM(H15:H19),5)</f>
        <v>0</v>
      </c>
      <c r="I20" s="274"/>
      <c r="J20" s="366">
        <f>ROUND(SUM(J15:J19),5)</f>
        <v>0</v>
      </c>
      <c r="K20" s="274"/>
      <c r="L20" s="366">
        <f t="shared" si="6"/>
        <v>0</v>
      </c>
      <c r="M20" s="274"/>
      <c r="N20" s="366">
        <f>ROUND(SUM(N15:N19),5)</f>
        <v>0</v>
      </c>
      <c r="O20" s="274"/>
      <c r="P20" s="366">
        <f>ROUND(SUM(P15:P19),5)</f>
        <v>0</v>
      </c>
      <c r="Q20" s="274"/>
      <c r="R20" s="366">
        <f>ROUND(SUM(R15:R19),5)</f>
        <v>0</v>
      </c>
      <c r="S20" s="274"/>
      <c r="T20" s="366">
        <f>ROUND(SUM(T15:T19),5)</f>
        <v>0</v>
      </c>
      <c r="U20" s="274"/>
      <c r="V20" s="366">
        <f t="shared" si="7"/>
        <v>0</v>
      </c>
      <c r="W20" s="274"/>
      <c r="X20" s="366">
        <f>ROUND(SUM(X15:X19),5)</f>
        <v>0</v>
      </c>
      <c r="Y20" s="274"/>
      <c r="Z20" s="366">
        <f>ROUND(SUM(Z15:Z19),5)</f>
        <v>27620.35</v>
      </c>
      <c r="AA20" s="274"/>
      <c r="AB20" s="366">
        <f t="shared" si="8"/>
        <v>27620.35</v>
      </c>
      <c r="AC20" s="274"/>
      <c r="AD20" s="366">
        <f>ROUND(SUM(AD15:AD19),5)</f>
        <v>0</v>
      </c>
      <c r="AE20" s="274"/>
      <c r="AF20" s="366">
        <f>ROUND(SUM(AF15:AF19),5)</f>
        <v>0</v>
      </c>
      <c r="AG20" s="274"/>
      <c r="AH20" s="366">
        <f>ROUND(SUM(AH15:AH19),5)</f>
        <v>0</v>
      </c>
      <c r="AI20" s="274"/>
      <c r="AJ20" s="366">
        <f t="shared" si="9"/>
        <v>27620.35</v>
      </c>
      <c r="AK20" s="274"/>
      <c r="AL20" s="366">
        <f>ROUND(SUM(AL15:AL19),5)</f>
        <v>0</v>
      </c>
      <c r="AM20" s="274"/>
      <c r="AN20" s="366">
        <f t="shared" si="10"/>
        <v>27620.35</v>
      </c>
      <c r="AP20" s="592">
        <f>SUM(AP16:AP19)</f>
        <v>27620.350000000002</v>
      </c>
      <c r="AQ20" s="592">
        <f>SUM(AQ16:AQ19)</f>
        <v>0</v>
      </c>
      <c r="AR20" s="592">
        <f t="shared" si="11"/>
        <v>27620.350000000002</v>
      </c>
    </row>
    <row r="21" spans="1:44" x14ac:dyDescent="0.25">
      <c r="A21" s="369"/>
      <c r="B21" s="369"/>
      <c r="C21" s="369"/>
      <c r="D21" s="369"/>
      <c r="E21" s="369" t="s">
        <v>345</v>
      </c>
      <c r="F21" s="369"/>
      <c r="G21" s="369"/>
      <c r="H21" s="366">
        <v>0</v>
      </c>
      <c r="I21" s="274"/>
      <c r="J21" s="366">
        <v>525</v>
      </c>
      <c r="K21" s="274"/>
      <c r="L21" s="366">
        <f t="shared" si="6"/>
        <v>525</v>
      </c>
      <c r="M21" s="274"/>
      <c r="N21" s="366">
        <v>0</v>
      </c>
      <c r="O21" s="274"/>
      <c r="P21" s="366">
        <v>0</v>
      </c>
      <c r="Q21" s="274"/>
      <c r="R21" s="366">
        <v>0</v>
      </c>
      <c r="S21" s="274"/>
      <c r="T21" s="366">
        <v>0</v>
      </c>
      <c r="U21" s="274"/>
      <c r="V21" s="366">
        <f t="shared" si="7"/>
        <v>0</v>
      </c>
      <c r="W21" s="274"/>
      <c r="X21" s="366">
        <v>0</v>
      </c>
      <c r="Y21" s="274"/>
      <c r="Z21" s="366">
        <v>0</v>
      </c>
      <c r="AA21" s="274"/>
      <c r="AB21" s="366">
        <f t="shared" si="8"/>
        <v>0</v>
      </c>
      <c r="AC21" s="274"/>
      <c r="AD21" s="366">
        <v>0</v>
      </c>
      <c r="AE21" s="274"/>
      <c r="AF21" s="366">
        <v>0</v>
      </c>
      <c r="AG21" s="274"/>
      <c r="AH21" s="366">
        <v>0</v>
      </c>
      <c r="AI21" s="274"/>
      <c r="AJ21" s="366">
        <f t="shared" si="9"/>
        <v>0</v>
      </c>
      <c r="AK21" s="274"/>
      <c r="AL21" s="366">
        <v>0</v>
      </c>
      <c r="AM21" s="274"/>
      <c r="AN21" s="366">
        <f t="shared" si="10"/>
        <v>525</v>
      </c>
      <c r="AP21" s="590">
        <f>AN21-AQ21</f>
        <v>525</v>
      </c>
      <c r="AQ21" s="591">
        <f>AD21+AF21+AH21</f>
        <v>0</v>
      </c>
      <c r="AR21" s="590">
        <f t="shared" si="11"/>
        <v>525</v>
      </c>
    </row>
    <row r="22" spans="1:44" ht="15.75" thickBot="1" x14ac:dyDescent="0.3">
      <c r="A22" s="369"/>
      <c r="B22" s="369"/>
      <c r="C22" s="369"/>
      <c r="D22" s="369"/>
      <c r="E22" s="369" t="s">
        <v>136</v>
      </c>
      <c r="F22" s="369"/>
      <c r="G22" s="369"/>
      <c r="H22" s="365">
        <v>0</v>
      </c>
      <c r="I22" s="274"/>
      <c r="J22" s="365">
        <v>421.09</v>
      </c>
      <c r="K22" s="274"/>
      <c r="L22" s="365">
        <f t="shared" si="6"/>
        <v>421.09</v>
      </c>
      <c r="M22" s="274"/>
      <c r="N22" s="365">
        <v>0</v>
      </c>
      <c r="O22" s="274"/>
      <c r="P22" s="365">
        <v>0</v>
      </c>
      <c r="Q22" s="274"/>
      <c r="R22" s="365">
        <v>0</v>
      </c>
      <c r="S22" s="274"/>
      <c r="T22" s="365">
        <v>0</v>
      </c>
      <c r="U22" s="274"/>
      <c r="V22" s="365">
        <f t="shared" si="7"/>
        <v>0</v>
      </c>
      <c r="W22" s="274"/>
      <c r="X22" s="365">
        <v>0</v>
      </c>
      <c r="Y22" s="274"/>
      <c r="Z22" s="365">
        <v>0</v>
      </c>
      <c r="AA22" s="274"/>
      <c r="AB22" s="365">
        <f t="shared" si="8"/>
        <v>0</v>
      </c>
      <c r="AC22" s="274"/>
      <c r="AD22" s="365">
        <v>0</v>
      </c>
      <c r="AE22" s="274"/>
      <c r="AF22" s="365">
        <v>0</v>
      </c>
      <c r="AG22" s="274"/>
      <c r="AH22" s="365">
        <v>0</v>
      </c>
      <c r="AI22" s="274"/>
      <c r="AJ22" s="365">
        <f t="shared" si="9"/>
        <v>0</v>
      </c>
      <c r="AK22" s="274"/>
      <c r="AL22" s="365">
        <v>0</v>
      </c>
      <c r="AM22" s="274"/>
      <c r="AN22" s="365">
        <f t="shared" si="10"/>
        <v>421.09</v>
      </c>
      <c r="AP22" s="590">
        <f>AN22-AQ22</f>
        <v>421.09</v>
      </c>
      <c r="AQ22" s="591">
        <f>AD22+AF22+AH22</f>
        <v>0</v>
      </c>
      <c r="AR22" s="590">
        <f t="shared" si="11"/>
        <v>421.09</v>
      </c>
    </row>
    <row r="23" spans="1:44" ht="15.75" thickBot="1" x14ac:dyDescent="0.3">
      <c r="A23" s="369"/>
      <c r="B23" s="369"/>
      <c r="C23" s="369"/>
      <c r="D23" s="369" t="s">
        <v>9</v>
      </c>
      <c r="E23" s="369"/>
      <c r="F23" s="369"/>
      <c r="G23" s="369"/>
      <c r="H23" s="276">
        <f>ROUND(H4+H14+SUM(H20:H22),5)</f>
        <v>0</v>
      </c>
      <c r="I23" s="274"/>
      <c r="J23" s="276">
        <f>ROUND(J4+J14+SUM(J20:J22),5)</f>
        <v>5807.01</v>
      </c>
      <c r="K23" s="274"/>
      <c r="L23" s="276">
        <f t="shared" si="6"/>
        <v>5807.01</v>
      </c>
      <c r="M23" s="274"/>
      <c r="N23" s="276">
        <f>ROUND(N4+N14+SUM(N20:N22),5)</f>
        <v>41653.879999999997</v>
      </c>
      <c r="O23" s="274"/>
      <c r="P23" s="276">
        <f>ROUND(P4+P14+SUM(P20:P22),5)</f>
        <v>0</v>
      </c>
      <c r="Q23" s="274"/>
      <c r="R23" s="276">
        <f>ROUND(R4+R14+SUM(R20:R22),5)</f>
        <v>0</v>
      </c>
      <c r="S23" s="274"/>
      <c r="T23" s="276">
        <f>ROUND(T4+T14+SUM(T20:T22),5)</f>
        <v>4750</v>
      </c>
      <c r="U23" s="274"/>
      <c r="V23" s="276">
        <f t="shared" si="7"/>
        <v>4750</v>
      </c>
      <c r="W23" s="274"/>
      <c r="X23" s="276">
        <f>ROUND(X4+X14+SUM(X20:X22),5)</f>
        <v>0</v>
      </c>
      <c r="Y23" s="274"/>
      <c r="Z23" s="276">
        <f>ROUND(Z4+Z14+SUM(Z20:Z22),5)</f>
        <v>27620.35</v>
      </c>
      <c r="AA23" s="274"/>
      <c r="AB23" s="276">
        <f t="shared" si="8"/>
        <v>32370.35</v>
      </c>
      <c r="AC23" s="274"/>
      <c r="AD23" s="276">
        <f>ROUND(AD4+AD14+SUM(AD20:AD22),5)</f>
        <v>20000</v>
      </c>
      <c r="AE23" s="274"/>
      <c r="AF23" s="276">
        <f>ROUND(AF4+AF14+SUM(AF20:AF22),5)</f>
        <v>7018</v>
      </c>
      <c r="AG23" s="274"/>
      <c r="AH23" s="276">
        <f>ROUND(AH4+AH14+SUM(AH20:AH22),5)</f>
        <v>60000</v>
      </c>
      <c r="AI23" s="274"/>
      <c r="AJ23" s="276">
        <f t="shared" si="9"/>
        <v>119388.35</v>
      </c>
      <c r="AK23" s="274"/>
      <c r="AL23" s="276">
        <f>ROUND(AL4+AL14+SUM(AL20:AL22),5)</f>
        <v>0</v>
      </c>
      <c r="AM23" s="274"/>
      <c r="AN23" s="276">
        <f t="shared" si="10"/>
        <v>166849.24</v>
      </c>
      <c r="AP23" s="590">
        <f>AP14+AP20+AP21+AP22</f>
        <v>75081.239999999991</v>
      </c>
      <c r="AQ23" s="590">
        <f>AQ14+AQ20+AQ21+AQ22</f>
        <v>91768</v>
      </c>
      <c r="AR23" s="590">
        <f t="shared" si="11"/>
        <v>166849.24</v>
      </c>
    </row>
    <row r="24" spans="1:44" x14ac:dyDescent="0.25">
      <c r="A24" s="369"/>
      <c r="B24" s="369"/>
      <c r="C24" s="369" t="s">
        <v>140</v>
      </c>
      <c r="D24" s="369"/>
      <c r="E24" s="369"/>
      <c r="F24" s="369"/>
      <c r="G24" s="369"/>
      <c r="H24" s="366">
        <f>H23</f>
        <v>0</v>
      </c>
      <c r="I24" s="274"/>
      <c r="J24" s="366">
        <f>J23</f>
        <v>5807.01</v>
      </c>
      <c r="K24" s="274"/>
      <c r="L24" s="366">
        <f t="shared" si="6"/>
        <v>5807.01</v>
      </c>
      <c r="M24" s="274"/>
      <c r="N24" s="366">
        <f>N23</f>
        <v>41653.879999999997</v>
      </c>
      <c r="O24" s="274"/>
      <c r="P24" s="366">
        <f>P23</f>
        <v>0</v>
      </c>
      <c r="Q24" s="274"/>
      <c r="R24" s="366">
        <f>R23</f>
        <v>0</v>
      </c>
      <c r="S24" s="274"/>
      <c r="T24" s="366">
        <f>T23</f>
        <v>4750</v>
      </c>
      <c r="U24" s="274"/>
      <c r="V24" s="366">
        <f t="shared" si="7"/>
        <v>4750</v>
      </c>
      <c r="W24" s="274"/>
      <c r="X24" s="366">
        <f>X23</f>
        <v>0</v>
      </c>
      <c r="Y24" s="274"/>
      <c r="Z24" s="366">
        <f>Z23</f>
        <v>27620.35</v>
      </c>
      <c r="AA24" s="274"/>
      <c r="AB24" s="366">
        <f t="shared" si="8"/>
        <v>32370.35</v>
      </c>
      <c r="AC24" s="274"/>
      <c r="AD24" s="366">
        <f>AD23</f>
        <v>20000</v>
      </c>
      <c r="AE24" s="274"/>
      <c r="AF24" s="366">
        <f>AF23</f>
        <v>7018</v>
      </c>
      <c r="AG24" s="274"/>
      <c r="AH24" s="366">
        <f>AH23</f>
        <v>60000</v>
      </c>
      <c r="AI24" s="274"/>
      <c r="AJ24" s="366">
        <f t="shared" si="9"/>
        <v>119388.35</v>
      </c>
      <c r="AK24" s="274"/>
      <c r="AL24" s="366">
        <f>AL23</f>
        <v>0</v>
      </c>
      <c r="AM24" s="274"/>
      <c r="AN24" s="366">
        <f t="shared" si="10"/>
        <v>166849.24</v>
      </c>
      <c r="AP24" s="592">
        <f>AP23</f>
        <v>75081.239999999991</v>
      </c>
      <c r="AQ24" s="592">
        <f>AQ23</f>
        <v>91768</v>
      </c>
      <c r="AR24" s="592">
        <f t="shared" si="11"/>
        <v>166849.24</v>
      </c>
    </row>
    <row r="25" spans="1:44" x14ac:dyDescent="0.25">
      <c r="A25" s="369"/>
      <c r="B25" s="369"/>
      <c r="C25" s="369"/>
      <c r="D25" s="369" t="s">
        <v>141</v>
      </c>
      <c r="E25" s="369"/>
      <c r="F25" s="369"/>
      <c r="G25" s="369"/>
      <c r="H25" s="366"/>
      <c r="I25" s="274"/>
      <c r="J25" s="366"/>
      <c r="K25" s="274"/>
      <c r="L25" s="366"/>
      <c r="M25" s="274"/>
      <c r="N25" s="366"/>
      <c r="O25" s="274"/>
      <c r="P25" s="366"/>
      <c r="Q25" s="274"/>
      <c r="R25" s="366"/>
      <c r="S25" s="274"/>
      <c r="T25" s="366"/>
      <c r="U25" s="274"/>
      <c r="V25" s="366"/>
      <c r="W25" s="274"/>
      <c r="X25" s="366"/>
      <c r="Y25" s="274"/>
      <c r="Z25" s="366"/>
      <c r="AA25" s="274"/>
      <c r="AB25" s="366"/>
      <c r="AC25" s="274"/>
      <c r="AD25" s="366"/>
      <c r="AE25" s="274"/>
      <c r="AF25" s="366"/>
      <c r="AG25" s="274"/>
      <c r="AH25" s="366"/>
      <c r="AI25" s="274"/>
      <c r="AJ25" s="366"/>
      <c r="AK25" s="274"/>
      <c r="AL25" s="366"/>
      <c r="AM25" s="274"/>
      <c r="AN25" s="366"/>
      <c r="AP25" s="590"/>
      <c r="AQ25" s="591"/>
      <c r="AR25" s="590"/>
    </row>
    <row r="26" spans="1:44" x14ac:dyDescent="0.25">
      <c r="A26" s="369"/>
      <c r="B26" s="369"/>
      <c r="C26" s="369"/>
      <c r="D26" s="369"/>
      <c r="E26" s="369" t="s">
        <v>426</v>
      </c>
      <c r="F26" s="369"/>
      <c r="G26" s="369"/>
      <c r="H26" s="366">
        <v>0</v>
      </c>
      <c r="I26" s="274"/>
      <c r="J26" s="366">
        <v>0</v>
      </c>
      <c r="K26" s="274"/>
      <c r="L26" s="366">
        <f t="shared" ref="L26:L39" si="12">ROUND(SUM(H26:J26),5)</f>
        <v>0</v>
      </c>
      <c r="M26" s="274"/>
      <c r="N26" s="366">
        <v>0</v>
      </c>
      <c r="O26" s="274"/>
      <c r="P26" s="366">
        <v>0</v>
      </c>
      <c r="Q26" s="274"/>
      <c r="R26" s="366">
        <v>0</v>
      </c>
      <c r="S26" s="274"/>
      <c r="T26" s="366">
        <v>0</v>
      </c>
      <c r="U26" s="274"/>
      <c r="V26" s="366">
        <f t="shared" ref="V26:V39" si="13">ROUND(SUM(R26:T26),5)</f>
        <v>0</v>
      </c>
      <c r="W26" s="274"/>
      <c r="X26" s="366">
        <v>0</v>
      </c>
      <c r="Y26" s="274"/>
      <c r="Z26" s="366">
        <v>0</v>
      </c>
      <c r="AA26" s="274"/>
      <c r="AB26" s="366">
        <f t="shared" ref="AB26:AB39" si="14">ROUND(SUM(V26:Z26),5)</f>
        <v>0</v>
      </c>
      <c r="AC26" s="274"/>
      <c r="AD26" s="366">
        <v>0</v>
      </c>
      <c r="AE26" s="274"/>
      <c r="AF26" s="366">
        <v>0</v>
      </c>
      <c r="AG26" s="274"/>
      <c r="AH26" s="366">
        <v>0</v>
      </c>
      <c r="AI26" s="274"/>
      <c r="AJ26" s="366">
        <f t="shared" ref="AJ26:AJ39" si="15">ROUND(P26+SUM(AB26:AH26),5)</f>
        <v>0</v>
      </c>
      <c r="AK26" s="274"/>
      <c r="AL26" s="366">
        <v>133.47</v>
      </c>
      <c r="AM26" s="274"/>
      <c r="AN26" s="366">
        <f t="shared" ref="AN26:AN39" si="16">ROUND(SUM(L26:N26)+SUM(AJ26:AL26),5)</f>
        <v>133.47</v>
      </c>
      <c r="AP26" s="590">
        <f t="shared" ref="AP26:AP36" si="17">AN26-AQ26</f>
        <v>133.47</v>
      </c>
      <c r="AQ26" s="591">
        <f t="shared" ref="AQ26:AQ37" si="18">AD26+AF26+AH26+V26</f>
        <v>0</v>
      </c>
      <c r="AR26" s="590">
        <f t="shared" ref="AR26:AR39" si="19">AP26+AQ26</f>
        <v>133.47</v>
      </c>
    </row>
    <row r="27" spans="1:44" x14ac:dyDescent="0.25">
      <c r="A27" s="369"/>
      <c r="B27" s="369"/>
      <c r="C27" s="369"/>
      <c r="D27" s="369"/>
      <c r="E27" s="369" t="s">
        <v>142</v>
      </c>
      <c r="F27" s="369"/>
      <c r="G27" s="369"/>
      <c r="H27" s="366">
        <v>3613.27</v>
      </c>
      <c r="I27" s="274"/>
      <c r="J27" s="366">
        <v>7582.66</v>
      </c>
      <c r="K27" s="274"/>
      <c r="L27" s="366">
        <f t="shared" si="12"/>
        <v>11195.93</v>
      </c>
      <c r="M27" s="274"/>
      <c r="N27" s="366">
        <v>18596.36</v>
      </c>
      <c r="O27" s="274"/>
      <c r="P27" s="366">
        <v>19232.98</v>
      </c>
      <c r="Q27" s="274"/>
      <c r="R27" s="366">
        <v>0</v>
      </c>
      <c r="S27" s="274"/>
      <c r="T27" s="366">
        <v>9793.68</v>
      </c>
      <c r="U27" s="274"/>
      <c r="V27" s="366">
        <f t="shared" si="13"/>
        <v>9793.68</v>
      </c>
      <c r="W27" s="274"/>
      <c r="X27" s="366">
        <v>0</v>
      </c>
      <c r="Y27" s="274"/>
      <c r="Z27" s="366">
        <v>2009.46</v>
      </c>
      <c r="AA27" s="274"/>
      <c r="AB27" s="366">
        <f t="shared" si="14"/>
        <v>11803.14</v>
      </c>
      <c r="AC27" s="274"/>
      <c r="AD27" s="366">
        <v>0</v>
      </c>
      <c r="AE27" s="274"/>
      <c r="AF27" s="366">
        <v>9102.52</v>
      </c>
      <c r="AG27" s="274"/>
      <c r="AH27" s="366">
        <v>0</v>
      </c>
      <c r="AI27" s="274"/>
      <c r="AJ27" s="366">
        <f t="shared" si="15"/>
        <v>40138.639999999999</v>
      </c>
      <c r="AK27" s="274"/>
      <c r="AL27" s="366">
        <v>0</v>
      </c>
      <c r="AM27" s="274"/>
      <c r="AN27" s="366">
        <f t="shared" si="16"/>
        <v>69930.929999999993</v>
      </c>
      <c r="AP27" s="590">
        <f t="shared" si="17"/>
        <v>51034.729999999996</v>
      </c>
      <c r="AQ27" s="591">
        <f t="shared" si="18"/>
        <v>18896.2</v>
      </c>
      <c r="AR27" s="590">
        <f t="shared" si="19"/>
        <v>69930.929999999993</v>
      </c>
    </row>
    <row r="28" spans="1:44" x14ac:dyDescent="0.25">
      <c r="A28" s="369"/>
      <c r="B28" s="369"/>
      <c r="C28" s="369"/>
      <c r="D28" s="369"/>
      <c r="E28" s="369" t="s">
        <v>348</v>
      </c>
      <c r="F28" s="369"/>
      <c r="G28" s="369"/>
      <c r="H28" s="366">
        <v>0</v>
      </c>
      <c r="I28" s="274"/>
      <c r="J28" s="366">
        <v>299.7</v>
      </c>
      <c r="K28" s="274"/>
      <c r="L28" s="366">
        <f t="shared" si="12"/>
        <v>299.7</v>
      </c>
      <c r="M28" s="274"/>
      <c r="N28" s="366">
        <v>0</v>
      </c>
      <c r="O28" s="274"/>
      <c r="P28" s="366">
        <v>0</v>
      </c>
      <c r="Q28" s="274"/>
      <c r="R28" s="366">
        <v>0</v>
      </c>
      <c r="S28" s="274"/>
      <c r="T28" s="366">
        <v>585.95000000000005</v>
      </c>
      <c r="U28" s="274"/>
      <c r="V28" s="366">
        <f t="shared" si="13"/>
        <v>585.95000000000005</v>
      </c>
      <c r="W28" s="274"/>
      <c r="X28" s="366">
        <v>0</v>
      </c>
      <c r="Y28" s="274"/>
      <c r="Z28" s="366">
        <v>183</v>
      </c>
      <c r="AA28" s="274"/>
      <c r="AB28" s="366">
        <f t="shared" si="14"/>
        <v>768.95</v>
      </c>
      <c r="AC28" s="274"/>
      <c r="AD28" s="366">
        <v>0</v>
      </c>
      <c r="AE28" s="274"/>
      <c r="AF28" s="366">
        <v>0</v>
      </c>
      <c r="AG28" s="274"/>
      <c r="AH28" s="366">
        <v>0</v>
      </c>
      <c r="AI28" s="274"/>
      <c r="AJ28" s="366">
        <f t="shared" si="15"/>
        <v>768.95</v>
      </c>
      <c r="AK28" s="274"/>
      <c r="AL28" s="366">
        <v>0</v>
      </c>
      <c r="AM28" s="274"/>
      <c r="AN28" s="366">
        <f t="shared" si="16"/>
        <v>1068.6500000000001</v>
      </c>
      <c r="AP28" s="590">
        <f t="shared" si="17"/>
        <v>482.70000000000005</v>
      </c>
      <c r="AQ28" s="591">
        <f t="shared" si="18"/>
        <v>585.95000000000005</v>
      </c>
      <c r="AR28" s="590">
        <f t="shared" si="19"/>
        <v>1068.6500000000001</v>
      </c>
    </row>
    <row r="29" spans="1:44" x14ac:dyDescent="0.25">
      <c r="A29" s="369"/>
      <c r="B29" s="369"/>
      <c r="C29" s="369"/>
      <c r="D29" s="369"/>
      <c r="E29" s="369" t="s">
        <v>147</v>
      </c>
      <c r="F29" s="369"/>
      <c r="G29" s="369"/>
      <c r="H29" s="366">
        <v>37.68</v>
      </c>
      <c r="I29" s="274"/>
      <c r="J29" s="366">
        <v>117.97</v>
      </c>
      <c r="K29" s="274"/>
      <c r="L29" s="366">
        <f t="shared" si="12"/>
        <v>155.65</v>
      </c>
      <c r="M29" s="274"/>
      <c r="N29" s="366">
        <v>203.49</v>
      </c>
      <c r="O29" s="274"/>
      <c r="P29" s="366">
        <v>180.88</v>
      </c>
      <c r="Q29" s="274"/>
      <c r="R29" s="366">
        <v>0</v>
      </c>
      <c r="S29" s="274"/>
      <c r="T29" s="366">
        <v>143.19999999999999</v>
      </c>
      <c r="U29" s="274"/>
      <c r="V29" s="366">
        <f t="shared" si="13"/>
        <v>143.19999999999999</v>
      </c>
      <c r="W29" s="274"/>
      <c r="X29" s="366">
        <v>0</v>
      </c>
      <c r="Y29" s="274"/>
      <c r="Z29" s="366">
        <v>30.14</v>
      </c>
      <c r="AA29" s="274"/>
      <c r="AB29" s="366">
        <f t="shared" si="14"/>
        <v>173.34</v>
      </c>
      <c r="AC29" s="274"/>
      <c r="AD29" s="366">
        <v>0</v>
      </c>
      <c r="AE29" s="274"/>
      <c r="AF29" s="366">
        <v>158.27000000000001</v>
      </c>
      <c r="AG29" s="274"/>
      <c r="AH29" s="366">
        <v>0</v>
      </c>
      <c r="AI29" s="274"/>
      <c r="AJ29" s="366">
        <f t="shared" si="15"/>
        <v>512.49</v>
      </c>
      <c r="AK29" s="274"/>
      <c r="AL29" s="366">
        <v>0</v>
      </c>
      <c r="AM29" s="274"/>
      <c r="AN29" s="366">
        <f t="shared" si="16"/>
        <v>871.63</v>
      </c>
      <c r="AP29" s="590">
        <f t="shared" si="17"/>
        <v>570.16</v>
      </c>
      <c r="AQ29" s="591">
        <f t="shared" si="18"/>
        <v>301.47000000000003</v>
      </c>
      <c r="AR29" s="590">
        <f t="shared" si="19"/>
        <v>871.63</v>
      </c>
    </row>
    <row r="30" spans="1:44" x14ac:dyDescent="0.25">
      <c r="A30" s="369"/>
      <c r="B30" s="369"/>
      <c r="C30" s="369"/>
      <c r="D30" s="369"/>
      <c r="E30" s="369" t="s">
        <v>148</v>
      </c>
      <c r="F30" s="369"/>
      <c r="G30" s="369"/>
      <c r="H30" s="366">
        <v>5.45</v>
      </c>
      <c r="I30" s="274"/>
      <c r="J30" s="366">
        <v>14.17</v>
      </c>
      <c r="K30" s="274"/>
      <c r="L30" s="366">
        <f t="shared" si="12"/>
        <v>19.62</v>
      </c>
      <c r="M30" s="274"/>
      <c r="N30" s="366">
        <v>111.93</v>
      </c>
      <c r="O30" s="274"/>
      <c r="P30" s="366">
        <v>26.17</v>
      </c>
      <c r="Q30" s="274"/>
      <c r="R30" s="366">
        <v>0</v>
      </c>
      <c r="S30" s="274"/>
      <c r="T30" s="366">
        <v>20.7</v>
      </c>
      <c r="U30" s="274"/>
      <c r="V30" s="366">
        <f t="shared" si="13"/>
        <v>20.7</v>
      </c>
      <c r="W30" s="274"/>
      <c r="X30" s="366">
        <v>0</v>
      </c>
      <c r="Y30" s="274"/>
      <c r="Z30" s="366">
        <v>254.91</v>
      </c>
      <c r="AA30" s="274"/>
      <c r="AB30" s="366">
        <f t="shared" si="14"/>
        <v>275.61</v>
      </c>
      <c r="AC30" s="274"/>
      <c r="AD30" s="366">
        <v>0</v>
      </c>
      <c r="AE30" s="274"/>
      <c r="AF30" s="366">
        <v>22.89</v>
      </c>
      <c r="AG30" s="274"/>
      <c r="AH30" s="366">
        <v>0</v>
      </c>
      <c r="AI30" s="274"/>
      <c r="AJ30" s="366">
        <f t="shared" si="15"/>
        <v>324.67</v>
      </c>
      <c r="AK30" s="274"/>
      <c r="AL30" s="366">
        <v>0</v>
      </c>
      <c r="AM30" s="274"/>
      <c r="AN30" s="366">
        <f t="shared" si="16"/>
        <v>456.22</v>
      </c>
      <c r="AP30" s="590">
        <f t="shared" si="17"/>
        <v>412.63</v>
      </c>
      <c r="AQ30" s="591">
        <f t="shared" si="18"/>
        <v>43.59</v>
      </c>
      <c r="AR30" s="590">
        <f t="shared" si="19"/>
        <v>456.22</v>
      </c>
    </row>
    <row r="31" spans="1:44" x14ac:dyDescent="0.25">
      <c r="A31" s="369"/>
      <c r="B31" s="369"/>
      <c r="C31" s="369"/>
      <c r="D31" s="369"/>
      <c r="E31" s="369" t="s">
        <v>149</v>
      </c>
      <c r="F31" s="369"/>
      <c r="G31" s="369"/>
      <c r="H31" s="366">
        <v>164.28</v>
      </c>
      <c r="I31" s="274"/>
      <c r="J31" s="366">
        <v>635.23</v>
      </c>
      <c r="K31" s="274"/>
      <c r="L31" s="366">
        <f t="shared" si="12"/>
        <v>799.51</v>
      </c>
      <c r="M31" s="274"/>
      <c r="N31" s="366">
        <v>760.6</v>
      </c>
      <c r="O31" s="274"/>
      <c r="P31" s="366">
        <v>660.48</v>
      </c>
      <c r="Q31" s="274"/>
      <c r="R31" s="366">
        <v>0</v>
      </c>
      <c r="S31" s="274"/>
      <c r="T31" s="366">
        <v>474.33</v>
      </c>
      <c r="U31" s="274"/>
      <c r="V31" s="366">
        <f t="shared" si="13"/>
        <v>474.33</v>
      </c>
      <c r="W31" s="274"/>
      <c r="X31" s="366">
        <v>0</v>
      </c>
      <c r="Y31" s="274"/>
      <c r="Z31" s="366">
        <v>107.9</v>
      </c>
      <c r="AA31" s="274"/>
      <c r="AB31" s="366">
        <f t="shared" si="14"/>
        <v>582.23</v>
      </c>
      <c r="AC31" s="274"/>
      <c r="AD31" s="366">
        <v>0</v>
      </c>
      <c r="AE31" s="274"/>
      <c r="AF31" s="366">
        <v>512.66</v>
      </c>
      <c r="AG31" s="274"/>
      <c r="AH31" s="366">
        <v>0</v>
      </c>
      <c r="AI31" s="274"/>
      <c r="AJ31" s="366">
        <f t="shared" si="15"/>
        <v>1755.37</v>
      </c>
      <c r="AK31" s="274"/>
      <c r="AL31" s="366">
        <v>0</v>
      </c>
      <c r="AM31" s="274"/>
      <c r="AN31" s="366">
        <f t="shared" si="16"/>
        <v>3315.48</v>
      </c>
      <c r="AP31" s="590">
        <f t="shared" si="17"/>
        <v>2328.4899999999998</v>
      </c>
      <c r="AQ31" s="591">
        <f t="shared" si="18"/>
        <v>986.99</v>
      </c>
      <c r="AR31" s="590">
        <f t="shared" si="19"/>
        <v>3315.4799999999996</v>
      </c>
    </row>
    <row r="32" spans="1:44" x14ac:dyDescent="0.25">
      <c r="A32" s="369"/>
      <c r="B32" s="369"/>
      <c r="C32" s="369"/>
      <c r="D32" s="369"/>
      <c r="E32" s="369" t="s">
        <v>150</v>
      </c>
      <c r="F32" s="369"/>
      <c r="G32" s="369"/>
      <c r="H32" s="366">
        <v>25.62</v>
      </c>
      <c r="I32" s="274"/>
      <c r="J32" s="366">
        <v>66.63</v>
      </c>
      <c r="K32" s="274"/>
      <c r="L32" s="366">
        <f t="shared" si="12"/>
        <v>92.25</v>
      </c>
      <c r="M32" s="274"/>
      <c r="N32" s="366">
        <v>138.41999999999999</v>
      </c>
      <c r="O32" s="274"/>
      <c r="P32" s="366">
        <v>123.03</v>
      </c>
      <c r="Q32" s="274"/>
      <c r="R32" s="366">
        <v>0</v>
      </c>
      <c r="S32" s="274"/>
      <c r="T32" s="366">
        <v>97.41</v>
      </c>
      <c r="U32" s="274"/>
      <c r="V32" s="366">
        <f t="shared" si="13"/>
        <v>97.41</v>
      </c>
      <c r="W32" s="274"/>
      <c r="X32" s="366">
        <v>0</v>
      </c>
      <c r="Y32" s="274"/>
      <c r="Z32" s="366">
        <v>20.52</v>
      </c>
      <c r="AA32" s="274"/>
      <c r="AB32" s="366">
        <f t="shared" si="14"/>
        <v>117.93</v>
      </c>
      <c r="AC32" s="274"/>
      <c r="AD32" s="366">
        <v>0</v>
      </c>
      <c r="AE32" s="274"/>
      <c r="AF32" s="366">
        <v>107.67</v>
      </c>
      <c r="AG32" s="274"/>
      <c r="AH32" s="366">
        <v>0</v>
      </c>
      <c r="AI32" s="274"/>
      <c r="AJ32" s="366">
        <f t="shared" si="15"/>
        <v>348.63</v>
      </c>
      <c r="AK32" s="274"/>
      <c r="AL32" s="366">
        <v>0</v>
      </c>
      <c r="AM32" s="274"/>
      <c r="AN32" s="366">
        <f t="shared" si="16"/>
        <v>579.29999999999995</v>
      </c>
      <c r="AP32" s="590">
        <f t="shared" si="17"/>
        <v>374.21999999999997</v>
      </c>
      <c r="AQ32" s="591">
        <f t="shared" si="18"/>
        <v>205.07999999999998</v>
      </c>
      <c r="AR32" s="590">
        <f t="shared" si="19"/>
        <v>579.29999999999995</v>
      </c>
    </row>
    <row r="33" spans="1:44" x14ac:dyDescent="0.25">
      <c r="A33" s="369"/>
      <c r="B33" s="369"/>
      <c r="C33" s="369"/>
      <c r="D33" s="369"/>
      <c r="E33" s="369" t="s">
        <v>350</v>
      </c>
      <c r="F33" s="369"/>
      <c r="G33" s="369"/>
      <c r="H33" s="366">
        <v>4.53</v>
      </c>
      <c r="I33" s="274"/>
      <c r="J33" s="366">
        <v>11.82</v>
      </c>
      <c r="K33" s="274"/>
      <c r="L33" s="366">
        <f t="shared" si="12"/>
        <v>16.350000000000001</v>
      </c>
      <c r="M33" s="274"/>
      <c r="N33" s="366">
        <v>2326.9299999999998</v>
      </c>
      <c r="O33" s="274"/>
      <c r="P33" s="366">
        <v>21.78</v>
      </c>
      <c r="Q33" s="274"/>
      <c r="R33" s="366">
        <v>0</v>
      </c>
      <c r="S33" s="274"/>
      <c r="T33" s="366">
        <v>17.28</v>
      </c>
      <c r="U33" s="274"/>
      <c r="V33" s="366">
        <f t="shared" si="13"/>
        <v>17.28</v>
      </c>
      <c r="W33" s="274"/>
      <c r="X33" s="366">
        <v>0</v>
      </c>
      <c r="Y33" s="274"/>
      <c r="Z33" s="366">
        <v>411.38</v>
      </c>
      <c r="AA33" s="274"/>
      <c r="AB33" s="366">
        <f t="shared" si="14"/>
        <v>428.66</v>
      </c>
      <c r="AC33" s="274"/>
      <c r="AD33" s="366">
        <v>0</v>
      </c>
      <c r="AE33" s="274"/>
      <c r="AF33" s="366">
        <v>19.079999999999998</v>
      </c>
      <c r="AG33" s="274"/>
      <c r="AH33" s="366">
        <v>0</v>
      </c>
      <c r="AI33" s="274"/>
      <c r="AJ33" s="366">
        <f t="shared" si="15"/>
        <v>469.52</v>
      </c>
      <c r="AK33" s="274"/>
      <c r="AL33" s="366">
        <v>0</v>
      </c>
      <c r="AM33" s="274"/>
      <c r="AN33" s="366">
        <f t="shared" si="16"/>
        <v>2812.8</v>
      </c>
      <c r="AP33" s="590">
        <f t="shared" si="17"/>
        <v>2776.44</v>
      </c>
      <c r="AQ33" s="591">
        <f t="shared" si="18"/>
        <v>36.36</v>
      </c>
      <c r="AR33" s="590">
        <f t="shared" si="19"/>
        <v>2812.8</v>
      </c>
    </row>
    <row r="34" spans="1:44" x14ac:dyDescent="0.25">
      <c r="A34" s="369"/>
      <c r="B34" s="369"/>
      <c r="C34" s="369"/>
      <c r="D34" s="369"/>
      <c r="E34" s="369" t="s">
        <v>154</v>
      </c>
      <c r="F34" s="369"/>
      <c r="G34" s="369"/>
      <c r="H34" s="366">
        <v>571.20000000000005</v>
      </c>
      <c r="I34" s="274"/>
      <c r="J34" s="366">
        <v>184.74</v>
      </c>
      <c r="K34" s="274"/>
      <c r="L34" s="366">
        <f t="shared" si="12"/>
        <v>755.94</v>
      </c>
      <c r="M34" s="274"/>
      <c r="N34" s="366">
        <v>383.65</v>
      </c>
      <c r="O34" s="274"/>
      <c r="P34" s="366">
        <v>341.04</v>
      </c>
      <c r="Q34" s="274"/>
      <c r="R34" s="366">
        <v>0</v>
      </c>
      <c r="S34" s="274"/>
      <c r="T34" s="366">
        <v>269.98</v>
      </c>
      <c r="U34" s="274"/>
      <c r="V34" s="366">
        <f t="shared" si="13"/>
        <v>269.98</v>
      </c>
      <c r="W34" s="274"/>
      <c r="X34" s="366">
        <v>0</v>
      </c>
      <c r="Y34" s="274"/>
      <c r="Z34" s="366">
        <v>56.82</v>
      </c>
      <c r="AA34" s="274"/>
      <c r="AB34" s="366">
        <f t="shared" si="14"/>
        <v>326.8</v>
      </c>
      <c r="AC34" s="274"/>
      <c r="AD34" s="366">
        <v>0</v>
      </c>
      <c r="AE34" s="274"/>
      <c r="AF34" s="366">
        <v>298.41000000000003</v>
      </c>
      <c r="AG34" s="274"/>
      <c r="AH34" s="366">
        <v>0</v>
      </c>
      <c r="AI34" s="274"/>
      <c r="AJ34" s="366">
        <f t="shared" si="15"/>
        <v>966.25</v>
      </c>
      <c r="AK34" s="274"/>
      <c r="AL34" s="366">
        <v>0</v>
      </c>
      <c r="AM34" s="274"/>
      <c r="AN34" s="366">
        <f t="shared" si="16"/>
        <v>2105.84</v>
      </c>
      <c r="AP34" s="590">
        <f t="shared" si="17"/>
        <v>1537.45</v>
      </c>
      <c r="AQ34" s="591">
        <f t="shared" si="18"/>
        <v>568.3900000000001</v>
      </c>
      <c r="AR34" s="590">
        <f t="shared" si="19"/>
        <v>2105.84</v>
      </c>
    </row>
    <row r="35" spans="1:44" x14ac:dyDescent="0.25">
      <c r="A35" s="369"/>
      <c r="B35" s="369"/>
      <c r="C35" s="369"/>
      <c r="D35" s="369"/>
      <c r="E35" s="369" t="s">
        <v>156</v>
      </c>
      <c r="F35" s="369"/>
      <c r="G35" s="369"/>
      <c r="H35" s="366">
        <v>34.340000000000003</v>
      </c>
      <c r="I35" s="274"/>
      <c r="J35" s="366">
        <v>81.8</v>
      </c>
      <c r="K35" s="274"/>
      <c r="L35" s="366">
        <f t="shared" si="12"/>
        <v>116.14</v>
      </c>
      <c r="M35" s="274"/>
      <c r="N35" s="366">
        <v>1745.85</v>
      </c>
      <c r="O35" s="274"/>
      <c r="P35" s="366">
        <v>172.72</v>
      </c>
      <c r="Q35" s="274"/>
      <c r="R35" s="366">
        <v>0</v>
      </c>
      <c r="S35" s="274"/>
      <c r="T35" s="366">
        <v>155.82</v>
      </c>
      <c r="U35" s="274"/>
      <c r="V35" s="366">
        <f t="shared" si="13"/>
        <v>155.82</v>
      </c>
      <c r="W35" s="274"/>
      <c r="X35" s="366">
        <v>0</v>
      </c>
      <c r="Y35" s="274"/>
      <c r="Z35" s="366">
        <v>23.75</v>
      </c>
      <c r="AA35" s="274"/>
      <c r="AB35" s="366">
        <f t="shared" si="14"/>
        <v>179.57</v>
      </c>
      <c r="AC35" s="274"/>
      <c r="AD35" s="366">
        <v>0</v>
      </c>
      <c r="AE35" s="274"/>
      <c r="AF35" s="366">
        <v>131.30000000000001</v>
      </c>
      <c r="AG35" s="274"/>
      <c r="AH35" s="366">
        <v>0</v>
      </c>
      <c r="AI35" s="274"/>
      <c r="AJ35" s="366">
        <f t="shared" si="15"/>
        <v>483.59</v>
      </c>
      <c r="AK35" s="274"/>
      <c r="AL35" s="366">
        <v>0</v>
      </c>
      <c r="AM35" s="274"/>
      <c r="AN35" s="366">
        <f t="shared" si="16"/>
        <v>2345.58</v>
      </c>
      <c r="AP35" s="590">
        <f t="shared" si="17"/>
        <v>2058.46</v>
      </c>
      <c r="AQ35" s="591">
        <f t="shared" si="18"/>
        <v>287.12</v>
      </c>
      <c r="AR35" s="590">
        <f t="shared" si="19"/>
        <v>2345.58</v>
      </c>
    </row>
    <row r="36" spans="1:44" ht="15.75" thickBot="1" x14ac:dyDescent="0.3">
      <c r="A36" s="369"/>
      <c r="B36" s="369"/>
      <c r="C36" s="369"/>
      <c r="D36" s="369"/>
      <c r="E36" s="369" t="s">
        <v>157</v>
      </c>
      <c r="F36" s="369"/>
      <c r="G36" s="369"/>
      <c r="H36" s="365">
        <v>4.6500000000000004</v>
      </c>
      <c r="I36" s="274"/>
      <c r="J36" s="365">
        <v>12.09</v>
      </c>
      <c r="K36" s="274"/>
      <c r="L36" s="365">
        <f t="shared" si="12"/>
        <v>16.739999999999998</v>
      </c>
      <c r="M36" s="274"/>
      <c r="N36" s="365">
        <v>25.12</v>
      </c>
      <c r="O36" s="274"/>
      <c r="P36" s="365">
        <v>22.33</v>
      </c>
      <c r="Q36" s="274"/>
      <c r="R36" s="365">
        <v>0</v>
      </c>
      <c r="S36" s="274"/>
      <c r="T36" s="365">
        <v>18317.68</v>
      </c>
      <c r="U36" s="274"/>
      <c r="V36" s="365">
        <f t="shared" si="13"/>
        <v>18317.68</v>
      </c>
      <c r="W36" s="274"/>
      <c r="X36" s="365">
        <v>87.5</v>
      </c>
      <c r="Y36" s="274"/>
      <c r="Z36" s="365">
        <v>3.72</v>
      </c>
      <c r="AA36" s="274"/>
      <c r="AB36" s="365">
        <f t="shared" si="14"/>
        <v>18408.900000000001</v>
      </c>
      <c r="AC36" s="274"/>
      <c r="AD36" s="365">
        <v>5455</v>
      </c>
      <c r="AE36" s="274"/>
      <c r="AF36" s="365">
        <v>13767.33</v>
      </c>
      <c r="AG36" s="274"/>
      <c r="AH36" s="365">
        <v>10000</v>
      </c>
      <c r="AI36" s="274"/>
      <c r="AJ36" s="365">
        <f t="shared" si="15"/>
        <v>47653.56</v>
      </c>
      <c r="AK36" s="274"/>
      <c r="AL36" s="365">
        <v>0</v>
      </c>
      <c r="AM36" s="274"/>
      <c r="AN36" s="365">
        <f t="shared" si="16"/>
        <v>47695.42</v>
      </c>
      <c r="AP36" s="590">
        <f t="shared" si="17"/>
        <v>155.40999999999622</v>
      </c>
      <c r="AQ36" s="591">
        <f t="shared" si="18"/>
        <v>47540.01</v>
      </c>
      <c r="AR36" s="590">
        <f t="shared" si="19"/>
        <v>47695.42</v>
      </c>
    </row>
    <row r="37" spans="1:44" ht="15.75" thickBot="1" x14ac:dyDescent="0.3">
      <c r="A37" s="369"/>
      <c r="B37" s="369"/>
      <c r="C37" s="369"/>
      <c r="D37" s="369" t="s">
        <v>56</v>
      </c>
      <c r="E37" s="369"/>
      <c r="F37" s="369"/>
      <c r="G37" s="369"/>
      <c r="H37" s="277">
        <f>ROUND(SUM(H25:H36),5)</f>
        <v>4461.0200000000004</v>
      </c>
      <c r="I37" s="274"/>
      <c r="J37" s="277">
        <f>ROUND(SUM(J25:J36),5)</f>
        <v>9006.81</v>
      </c>
      <c r="K37" s="274"/>
      <c r="L37" s="277">
        <f t="shared" si="12"/>
        <v>13467.83</v>
      </c>
      <c r="M37" s="274"/>
      <c r="N37" s="277">
        <f>ROUND(SUM(N25:N36),5)</f>
        <v>24292.35</v>
      </c>
      <c r="O37" s="274"/>
      <c r="P37" s="277">
        <f>ROUND(SUM(P25:P36),5)</f>
        <v>20781.41</v>
      </c>
      <c r="Q37" s="274"/>
      <c r="R37" s="277">
        <f>ROUND(SUM(R25:R36),5)</f>
        <v>0</v>
      </c>
      <c r="S37" s="274"/>
      <c r="T37" s="277">
        <f>ROUND(SUM(T25:T36),5)</f>
        <v>29876.03</v>
      </c>
      <c r="U37" s="274"/>
      <c r="V37" s="277">
        <f t="shared" si="13"/>
        <v>29876.03</v>
      </c>
      <c r="W37" s="274"/>
      <c r="X37" s="277">
        <f>ROUND(SUM(X25:X36),5)</f>
        <v>87.5</v>
      </c>
      <c r="Y37" s="274"/>
      <c r="Z37" s="277">
        <f>ROUND(SUM(Z25:Z36),5)</f>
        <v>3101.6</v>
      </c>
      <c r="AA37" s="274"/>
      <c r="AB37" s="277">
        <f t="shared" si="14"/>
        <v>33065.129999999997</v>
      </c>
      <c r="AC37" s="274"/>
      <c r="AD37" s="277">
        <f>ROUND(SUM(AD25:AD36),5)</f>
        <v>5455</v>
      </c>
      <c r="AE37" s="274"/>
      <c r="AF37" s="277">
        <f>ROUND(SUM(AF25:AF36),5)</f>
        <v>24120.13</v>
      </c>
      <c r="AG37" s="274"/>
      <c r="AH37" s="277">
        <f>ROUND(SUM(AH25:AH36),5)</f>
        <v>10000</v>
      </c>
      <c r="AI37" s="274"/>
      <c r="AJ37" s="277">
        <f t="shared" si="15"/>
        <v>93421.67</v>
      </c>
      <c r="AK37" s="274"/>
      <c r="AL37" s="277">
        <f>ROUND(SUM(AL25:AL36),5)</f>
        <v>133.47</v>
      </c>
      <c r="AM37" s="274"/>
      <c r="AN37" s="277">
        <f t="shared" si="16"/>
        <v>131315.32</v>
      </c>
      <c r="AP37" s="590">
        <f>SUM(AP26:AP36)</f>
        <v>61864.159999999989</v>
      </c>
      <c r="AQ37" s="591">
        <f t="shared" si="18"/>
        <v>69451.16</v>
      </c>
      <c r="AR37" s="590">
        <f t="shared" si="19"/>
        <v>131315.32</v>
      </c>
    </row>
    <row r="38" spans="1:44" ht="15.75" thickBot="1" x14ac:dyDescent="0.3">
      <c r="A38" s="369"/>
      <c r="B38" s="369" t="s">
        <v>159</v>
      </c>
      <c r="C38" s="369"/>
      <c r="D38" s="369"/>
      <c r="E38" s="369"/>
      <c r="F38" s="369"/>
      <c r="G38" s="369"/>
      <c r="H38" s="277">
        <f>ROUND(H3+H24-H37,5)</f>
        <v>-4461.0200000000004</v>
      </c>
      <c r="I38" s="274"/>
      <c r="J38" s="277">
        <f>ROUND(J3+J24-J37,5)</f>
        <v>-3199.8</v>
      </c>
      <c r="K38" s="274"/>
      <c r="L38" s="277">
        <f t="shared" si="12"/>
        <v>-7660.82</v>
      </c>
      <c r="M38" s="274"/>
      <c r="N38" s="277">
        <f>ROUND(N3+N24-N37,5)</f>
        <v>17361.53</v>
      </c>
      <c r="O38" s="274"/>
      <c r="P38" s="277">
        <f>ROUND(P3+P24-P37,5)</f>
        <v>-20781.41</v>
      </c>
      <c r="Q38" s="274"/>
      <c r="R38" s="277">
        <f>ROUND(R3+R24-R37,5)</f>
        <v>0</v>
      </c>
      <c r="S38" s="274"/>
      <c r="T38" s="277">
        <f>ROUND(T3+T24-T37,5)</f>
        <v>-25126.03</v>
      </c>
      <c r="U38" s="274"/>
      <c r="V38" s="277">
        <f t="shared" si="13"/>
        <v>-25126.03</v>
      </c>
      <c r="W38" s="274"/>
      <c r="X38" s="277">
        <f>ROUND(X3+X24-X37,5)</f>
        <v>-87.5</v>
      </c>
      <c r="Y38" s="274"/>
      <c r="Z38" s="277">
        <f>ROUND(Z3+Z24-Z37,5)</f>
        <v>24518.75</v>
      </c>
      <c r="AA38" s="274"/>
      <c r="AB38" s="277">
        <f t="shared" si="14"/>
        <v>-694.78</v>
      </c>
      <c r="AC38" s="274"/>
      <c r="AD38" s="277">
        <f>ROUND(AD3+AD24-AD37,5)</f>
        <v>14545</v>
      </c>
      <c r="AE38" s="274"/>
      <c r="AF38" s="277">
        <f>ROUND(AF3+AF24-AF37,5)</f>
        <v>-17102.13</v>
      </c>
      <c r="AG38" s="274"/>
      <c r="AH38" s="277">
        <f>ROUND(AH3+AH24-AH37,5)</f>
        <v>50000</v>
      </c>
      <c r="AI38" s="274"/>
      <c r="AJ38" s="277">
        <f t="shared" si="15"/>
        <v>25966.68</v>
      </c>
      <c r="AK38" s="274"/>
      <c r="AL38" s="277">
        <f>ROUND(AL3+AL24-AL37,5)</f>
        <v>-133.47</v>
      </c>
      <c r="AM38" s="274"/>
      <c r="AN38" s="277">
        <f t="shared" si="16"/>
        <v>35533.919999999998</v>
      </c>
      <c r="AP38" s="590">
        <f>AP24-AP37</f>
        <v>13217.080000000002</v>
      </c>
      <c r="AQ38" s="590">
        <f>AQ24-AQ37</f>
        <v>22316.839999999997</v>
      </c>
      <c r="AR38" s="590">
        <f t="shared" si="19"/>
        <v>35533.919999999998</v>
      </c>
    </row>
    <row r="39" spans="1:44" s="279" customFormat="1" ht="15.75" thickBot="1" x14ac:dyDescent="0.3">
      <c r="A39" s="369" t="s">
        <v>160</v>
      </c>
      <c r="B39" s="369"/>
      <c r="C39" s="369"/>
      <c r="D39" s="369"/>
      <c r="E39" s="369"/>
      <c r="F39" s="369"/>
      <c r="G39" s="369"/>
      <c r="H39" s="278">
        <f>H38</f>
        <v>-4461.0200000000004</v>
      </c>
      <c r="I39" s="369"/>
      <c r="J39" s="278">
        <f>J38</f>
        <v>-3199.8</v>
      </c>
      <c r="K39" s="369"/>
      <c r="L39" s="278">
        <f t="shared" si="12"/>
        <v>-7660.82</v>
      </c>
      <c r="M39" s="369"/>
      <c r="N39" s="278">
        <f>N38</f>
        <v>17361.53</v>
      </c>
      <c r="O39" s="369"/>
      <c r="P39" s="278">
        <f>P38</f>
        <v>-20781.41</v>
      </c>
      <c r="Q39" s="369"/>
      <c r="R39" s="278">
        <f>R38</f>
        <v>0</v>
      </c>
      <c r="S39" s="369"/>
      <c r="T39" s="278">
        <f>T38</f>
        <v>-25126.03</v>
      </c>
      <c r="U39" s="369"/>
      <c r="V39" s="278">
        <f t="shared" si="13"/>
        <v>-25126.03</v>
      </c>
      <c r="W39" s="369"/>
      <c r="X39" s="278">
        <f>X38</f>
        <v>-87.5</v>
      </c>
      <c r="Y39" s="369"/>
      <c r="Z39" s="278">
        <f>Z38</f>
        <v>24518.75</v>
      </c>
      <c r="AA39" s="369"/>
      <c r="AB39" s="278">
        <f t="shared" si="14"/>
        <v>-694.78</v>
      </c>
      <c r="AC39" s="369"/>
      <c r="AD39" s="278">
        <f>AD38</f>
        <v>14545</v>
      </c>
      <c r="AE39" s="369"/>
      <c r="AF39" s="278">
        <f>AF38</f>
        <v>-17102.13</v>
      </c>
      <c r="AG39" s="369"/>
      <c r="AH39" s="278">
        <f>AH38</f>
        <v>50000</v>
      </c>
      <c r="AI39" s="369"/>
      <c r="AJ39" s="278">
        <f t="shared" si="15"/>
        <v>25966.68</v>
      </c>
      <c r="AK39" s="369"/>
      <c r="AL39" s="278">
        <f>AL38</f>
        <v>-133.47</v>
      </c>
      <c r="AM39" s="369"/>
      <c r="AN39" s="278">
        <f t="shared" si="16"/>
        <v>35533.919999999998</v>
      </c>
      <c r="AP39" s="592">
        <f>AP38</f>
        <v>13217.080000000002</v>
      </c>
      <c r="AQ39" s="592">
        <f>AQ38</f>
        <v>22316.839999999997</v>
      </c>
      <c r="AR39" s="592">
        <f t="shared" si="19"/>
        <v>35533.919999999998</v>
      </c>
    </row>
    <row r="40" spans="1:44" ht="15.75" thickTop="1" x14ac:dyDescent="0.25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H37"/>
  <sheetViews>
    <sheetView workbookViewId="0">
      <pane xSplit="1" topLeftCell="AM1" activePane="topRight" state="frozen"/>
      <selection pane="topRight" activeCell="BD12" sqref="BD12"/>
    </sheetView>
  </sheetViews>
  <sheetFormatPr defaultRowHeight="15" x14ac:dyDescent="0.25"/>
  <cols>
    <col min="1" max="4" width="3" style="361" customWidth="1"/>
    <col min="5" max="5" width="33" style="361" customWidth="1"/>
    <col min="6" max="6" width="9.85546875" style="362" bestFit="1" customWidth="1"/>
    <col min="7" max="7" width="2.28515625" style="362" customWidth="1"/>
    <col min="8" max="8" width="8.42578125" style="362" bestFit="1" customWidth="1"/>
    <col min="9" max="9" width="2.28515625" style="362" customWidth="1"/>
    <col min="10" max="10" width="9.85546875" style="362" bestFit="1" customWidth="1"/>
    <col min="11" max="11" width="2.28515625" style="362" customWidth="1"/>
    <col min="12" max="12" width="8.42578125" style="362" bestFit="1" customWidth="1"/>
    <col min="13" max="13" width="2.28515625" style="362" customWidth="1"/>
    <col min="14" max="14" width="9.85546875" style="362" bestFit="1" customWidth="1"/>
    <col min="15" max="15" width="2.28515625" style="362" customWidth="1"/>
    <col min="16" max="16" width="8.42578125" style="362" bestFit="1" customWidth="1"/>
    <col min="17" max="17" width="2.28515625" style="362" customWidth="1"/>
    <col min="18" max="18" width="9.85546875" style="362" bestFit="1" customWidth="1"/>
    <col min="19" max="19" width="2.28515625" style="362" customWidth="1"/>
    <col min="20" max="20" width="8.7109375" style="362" bestFit="1" customWidth="1"/>
    <col min="21" max="21" width="2.28515625" style="362" customWidth="1"/>
    <col min="22" max="22" width="9.85546875" style="362" bestFit="1" customWidth="1"/>
    <col min="23" max="23" width="2.28515625" style="362" customWidth="1"/>
    <col min="24" max="24" width="6.5703125" style="362" bestFit="1" customWidth="1"/>
    <col min="25" max="25" width="2.28515625" style="362" customWidth="1"/>
    <col min="26" max="26" width="9.85546875" style="362" bestFit="1" customWidth="1"/>
    <col min="27" max="27" width="2.28515625" style="362" customWidth="1"/>
    <col min="28" max="28" width="6.5703125" style="362" bestFit="1" customWidth="1"/>
    <col min="29" max="29" width="2.28515625" style="362" customWidth="1"/>
    <col min="30" max="30" width="9.85546875" style="362" bestFit="1" customWidth="1"/>
    <col min="31" max="31" width="2.28515625" style="362" customWidth="1"/>
    <col min="32" max="32" width="6.5703125" style="362" bestFit="1" customWidth="1"/>
    <col min="33" max="33" width="2.28515625" style="362" customWidth="1"/>
    <col min="34" max="34" width="9.85546875" style="362" bestFit="1" customWidth="1"/>
    <col min="35" max="35" width="2.28515625" style="362" customWidth="1"/>
    <col min="36" max="36" width="6.5703125" style="362" bestFit="1" customWidth="1"/>
    <col min="37" max="37" width="2.28515625" style="362" customWidth="1"/>
    <col min="38" max="38" width="9.85546875" style="362" bestFit="1" customWidth="1"/>
    <col min="39" max="39" width="2.28515625" style="362" customWidth="1"/>
    <col min="40" max="40" width="8.7109375" style="362" bestFit="1" customWidth="1"/>
    <col min="41" max="41" width="2.28515625" style="362" customWidth="1"/>
    <col min="42" max="42" width="9.85546875" style="362" bestFit="1" customWidth="1"/>
    <col min="43" max="43" width="2.28515625" style="362" customWidth="1"/>
    <col min="44" max="44" width="8.7109375" style="362" bestFit="1" customWidth="1"/>
    <col min="45" max="45" width="2.28515625" style="362" customWidth="1"/>
    <col min="46" max="46" width="9.85546875" style="362" bestFit="1" customWidth="1"/>
    <col min="47" max="47" width="2.28515625" style="362" customWidth="1"/>
    <col min="48" max="48" width="6.5703125" style="362" bestFit="1" customWidth="1"/>
    <col min="49" max="49" width="2.28515625" style="362" customWidth="1"/>
    <col min="50" max="50" width="9.85546875" style="362" bestFit="1" customWidth="1"/>
    <col min="51" max="51" width="2.28515625" style="362" customWidth="1"/>
    <col min="52" max="52" width="6.5703125" style="362" bestFit="1" customWidth="1"/>
    <col min="53" max="53" width="2.28515625" style="362" customWidth="1"/>
    <col min="54" max="54" width="9.85546875" style="362" bestFit="1" customWidth="1"/>
    <col min="55" max="55" width="2.28515625" style="362" customWidth="1"/>
    <col min="56" max="56" width="8.7109375" style="362" bestFit="1" customWidth="1"/>
    <col min="57" max="57" width="2.28515625" style="362" customWidth="1"/>
    <col min="58" max="58" width="9.85546875" style="362" bestFit="1" customWidth="1"/>
    <col min="59" max="59" width="2.28515625" style="362" customWidth="1"/>
    <col min="60" max="60" width="6.5703125" style="362" bestFit="1" customWidth="1"/>
    <col min="61" max="61" width="2.28515625" style="362" customWidth="1"/>
    <col min="62" max="62" width="9.85546875" style="362" bestFit="1" customWidth="1"/>
    <col min="63" max="63" width="2.28515625" style="362" customWidth="1"/>
    <col min="64" max="64" width="8.7109375" style="362" bestFit="1" customWidth="1"/>
    <col min="65" max="65" width="2.28515625" style="362" customWidth="1"/>
    <col min="66" max="66" width="9.85546875" style="362" bestFit="1" customWidth="1"/>
    <col min="67" max="67" width="2.28515625" style="362" customWidth="1"/>
    <col min="68" max="68" width="6.5703125" style="362" bestFit="1" customWidth="1"/>
    <col min="69" max="69" width="2.28515625" style="362" customWidth="1"/>
    <col min="70" max="70" width="9.85546875" style="362" bestFit="1" customWidth="1"/>
    <col min="71" max="71" width="2.28515625" style="362" customWidth="1"/>
    <col min="72" max="72" width="7.85546875" style="362" bestFit="1" customWidth="1"/>
    <col min="73" max="73" width="2.28515625" style="362" customWidth="1"/>
    <col min="74" max="74" width="9.85546875" style="362" bestFit="1" customWidth="1"/>
    <col min="75" max="75" width="2.28515625" style="362" customWidth="1"/>
    <col min="76" max="76" width="8.7109375" style="362" bestFit="1" customWidth="1"/>
    <col min="77" max="77" width="2.28515625" style="362" customWidth="1"/>
    <col min="78" max="78" width="9.85546875" style="362" bestFit="1" customWidth="1"/>
    <col min="79" max="79" width="2.28515625" style="362" customWidth="1"/>
    <col min="80" max="80" width="6.5703125" style="362" bestFit="1" customWidth="1"/>
    <col min="81" max="81" width="2.28515625" style="362" customWidth="1"/>
    <col min="82" max="82" width="9.85546875" style="362" bestFit="1" customWidth="1"/>
    <col min="83" max="83" width="2.28515625" style="362" customWidth="1"/>
    <col min="84" max="84" width="6.5703125" style="362" bestFit="1" customWidth="1"/>
    <col min="85" max="85" width="2.28515625" style="362" customWidth="1"/>
    <col min="86" max="86" width="9.85546875" style="362" bestFit="1" customWidth="1"/>
    <col min="87" max="87" width="2.28515625" style="362" customWidth="1"/>
    <col min="88" max="88" width="8.42578125" style="362" bestFit="1" customWidth="1"/>
    <col min="89" max="89" width="2.28515625" style="362" customWidth="1"/>
    <col min="90" max="90" width="9.85546875" style="362" bestFit="1" customWidth="1"/>
    <col min="91" max="91" width="2.28515625" style="362" customWidth="1"/>
    <col min="92" max="92" width="8.42578125" style="362" bestFit="1" customWidth="1"/>
    <col min="93" max="93" width="2.28515625" style="362" customWidth="1"/>
    <col min="94" max="94" width="9.85546875" style="362" bestFit="1" customWidth="1"/>
    <col min="95" max="95" width="2.28515625" style="362" customWidth="1"/>
    <col min="96" max="96" width="6.5703125" style="362" bestFit="1" customWidth="1"/>
    <col min="97" max="97" width="2.28515625" style="362" customWidth="1"/>
    <col min="98" max="98" width="9.85546875" style="362" bestFit="1" customWidth="1"/>
    <col min="99" max="99" width="2.28515625" style="362" customWidth="1"/>
    <col min="100" max="100" width="9.28515625" style="362" bestFit="1" customWidth="1"/>
    <col min="101" max="101" width="2.28515625" style="362" customWidth="1"/>
    <col min="102" max="102" width="9.85546875" style="362" bestFit="1" customWidth="1"/>
    <col min="103" max="103" width="2.28515625" style="362" customWidth="1"/>
    <col min="104" max="104" width="6.5703125" style="362" bestFit="1" customWidth="1"/>
    <col min="105" max="105" width="2.28515625" style="362" customWidth="1"/>
    <col min="106" max="106" width="9.85546875" style="362" bestFit="1" customWidth="1"/>
    <col min="107" max="107" width="2.28515625" style="362" customWidth="1"/>
    <col min="108" max="108" width="9.28515625" style="362" bestFit="1" customWidth="1"/>
    <col min="109" max="109" width="9.140625" style="360"/>
    <col min="110" max="110" width="12.140625" style="360" bestFit="1" customWidth="1"/>
    <col min="111" max="111" width="10.85546875" style="360" bestFit="1" customWidth="1"/>
    <col min="112" max="112" width="24.7109375" style="360" customWidth="1"/>
    <col min="113" max="16384" width="9.140625" style="360"/>
  </cols>
  <sheetData>
    <row r="1" spans="1:112" ht="15.75" thickBot="1" x14ac:dyDescent="0.3">
      <c r="A1" s="369"/>
      <c r="B1" s="369"/>
      <c r="C1" s="369"/>
      <c r="D1" s="369"/>
      <c r="E1" s="369"/>
      <c r="F1" s="267" t="s">
        <v>103</v>
      </c>
      <c r="G1" s="268"/>
      <c r="H1" s="268"/>
      <c r="I1" s="269"/>
      <c r="J1" s="267" t="s">
        <v>104</v>
      </c>
      <c r="K1" s="268"/>
      <c r="L1" s="268"/>
      <c r="M1" s="269"/>
      <c r="N1" s="268"/>
      <c r="O1" s="268"/>
      <c r="P1" s="268"/>
      <c r="Q1" s="269"/>
      <c r="R1" s="268"/>
      <c r="S1" s="268"/>
      <c r="T1" s="268"/>
      <c r="U1" s="269"/>
      <c r="V1" s="267" t="s">
        <v>352</v>
      </c>
      <c r="W1" s="268"/>
      <c r="X1" s="268"/>
      <c r="Y1" s="269"/>
      <c r="Z1" s="267" t="s">
        <v>314</v>
      </c>
      <c r="AA1" s="268"/>
      <c r="AB1" s="268"/>
      <c r="AC1" s="269"/>
      <c r="AD1" s="267" t="s">
        <v>315</v>
      </c>
      <c r="AE1" s="268"/>
      <c r="AF1" s="268"/>
      <c r="AG1" s="269"/>
      <c r="AH1" s="267" t="s">
        <v>316</v>
      </c>
      <c r="AI1" s="268"/>
      <c r="AJ1" s="268"/>
      <c r="AK1" s="269"/>
      <c r="AL1" s="267" t="s">
        <v>317</v>
      </c>
      <c r="AM1" s="268"/>
      <c r="AN1" s="268"/>
      <c r="AO1" s="269"/>
      <c r="AP1" s="267" t="s">
        <v>318</v>
      </c>
      <c r="AQ1" s="268"/>
      <c r="AR1" s="268"/>
      <c r="AS1" s="269"/>
      <c r="AT1" s="267" t="s">
        <v>319</v>
      </c>
      <c r="AU1" s="268"/>
      <c r="AV1" s="268"/>
      <c r="AW1" s="269"/>
      <c r="AX1" s="267" t="s">
        <v>320</v>
      </c>
      <c r="AY1" s="268"/>
      <c r="AZ1" s="268"/>
      <c r="BA1" s="269"/>
      <c r="BB1" s="267" t="s">
        <v>449</v>
      </c>
      <c r="BC1" s="268"/>
      <c r="BD1" s="268"/>
      <c r="BE1" s="269"/>
      <c r="BF1" s="267" t="s">
        <v>443</v>
      </c>
      <c r="BG1" s="268"/>
      <c r="BH1" s="268"/>
      <c r="BI1" s="269"/>
      <c r="BJ1" s="267" t="s">
        <v>321</v>
      </c>
      <c r="BK1" s="268"/>
      <c r="BL1" s="268"/>
      <c r="BM1" s="269"/>
      <c r="BN1" s="267" t="s">
        <v>322</v>
      </c>
      <c r="BO1" s="268"/>
      <c r="BP1" s="268"/>
      <c r="BQ1" s="269"/>
      <c r="BR1" s="267" t="s">
        <v>323</v>
      </c>
      <c r="BS1" s="268"/>
      <c r="BT1" s="268"/>
      <c r="BU1" s="269"/>
      <c r="BV1" s="267" t="s">
        <v>324</v>
      </c>
      <c r="BW1" s="268"/>
      <c r="BX1" s="268"/>
      <c r="BY1" s="269"/>
      <c r="BZ1" s="267" t="s">
        <v>460</v>
      </c>
      <c r="CA1" s="268"/>
      <c r="CB1" s="268"/>
      <c r="CC1" s="269"/>
      <c r="CD1" s="267" t="s">
        <v>325</v>
      </c>
      <c r="CE1" s="268"/>
      <c r="CF1" s="268"/>
      <c r="CG1" s="269"/>
      <c r="CH1" s="267" t="s">
        <v>326</v>
      </c>
      <c r="CI1" s="268"/>
      <c r="CJ1" s="268"/>
      <c r="CK1" s="269"/>
      <c r="CL1" s="267" t="s">
        <v>327</v>
      </c>
      <c r="CM1" s="268"/>
      <c r="CN1" s="268"/>
      <c r="CO1" s="269"/>
      <c r="CP1" s="267" t="s">
        <v>461</v>
      </c>
      <c r="CQ1" s="268"/>
      <c r="CR1" s="268"/>
      <c r="CS1" s="269"/>
      <c r="CT1" s="268"/>
      <c r="CU1" s="268"/>
      <c r="CV1" s="268"/>
      <c r="CW1" s="269"/>
      <c r="CX1" s="268"/>
      <c r="CY1" s="268"/>
      <c r="CZ1" s="268"/>
      <c r="DA1" s="269"/>
      <c r="DB1" s="268"/>
      <c r="DC1" s="268"/>
      <c r="DD1" s="268"/>
      <c r="DF1" s="478"/>
      <c r="DG1" s="379"/>
      <c r="DH1" s="391" t="s">
        <v>462</v>
      </c>
    </row>
    <row r="2" spans="1:112" ht="15.75" thickBot="1" x14ac:dyDescent="0.3">
      <c r="A2" s="369"/>
      <c r="B2" s="369"/>
      <c r="C2" s="369"/>
      <c r="D2" s="369"/>
      <c r="E2" s="369"/>
      <c r="F2" s="267" t="s">
        <v>119</v>
      </c>
      <c r="G2" s="270"/>
      <c r="H2" s="268"/>
      <c r="I2" s="269"/>
      <c r="J2" s="267" t="s">
        <v>119</v>
      </c>
      <c r="K2" s="270"/>
      <c r="L2" s="268"/>
      <c r="M2" s="269"/>
      <c r="N2" s="267" t="s">
        <v>120</v>
      </c>
      <c r="O2" s="270"/>
      <c r="P2" s="268"/>
      <c r="Q2" s="269"/>
      <c r="R2" s="267" t="s">
        <v>121</v>
      </c>
      <c r="S2" s="270"/>
      <c r="T2" s="268"/>
      <c r="U2" s="269"/>
      <c r="V2" s="267" t="s">
        <v>329</v>
      </c>
      <c r="W2" s="270"/>
      <c r="X2" s="268"/>
      <c r="Y2" s="269"/>
      <c r="Z2" s="267" t="s">
        <v>329</v>
      </c>
      <c r="AA2" s="270"/>
      <c r="AB2" s="268"/>
      <c r="AC2" s="269"/>
      <c r="AD2" s="267" t="s">
        <v>329</v>
      </c>
      <c r="AE2" s="270"/>
      <c r="AF2" s="268"/>
      <c r="AG2" s="269"/>
      <c r="AH2" s="267" t="s">
        <v>329</v>
      </c>
      <c r="AI2" s="270"/>
      <c r="AJ2" s="268"/>
      <c r="AK2" s="269"/>
      <c r="AL2" s="267" t="s">
        <v>329</v>
      </c>
      <c r="AM2" s="270"/>
      <c r="AN2" s="268"/>
      <c r="AO2" s="269"/>
      <c r="AP2" s="267" t="s">
        <v>123</v>
      </c>
      <c r="AQ2" s="270"/>
      <c r="AR2" s="268"/>
      <c r="AS2" s="269"/>
      <c r="AT2" s="267" t="s">
        <v>330</v>
      </c>
      <c r="AU2" s="270"/>
      <c r="AV2" s="268"/>
      <c r="AW2" s="269"/>
      <c r="AX2" s="267" t="s">
        <v>330</v>
      </c>
      <c r="AY2" s="270"/>
      <c r="AZ2" s="268"/>
      <c r="BA2" s="269"/>
      <c r="BB2" s="267" t="s">
        <v>330</v>
      </c>
      <c r="BC2" s="270"/>
      <c r="BD2" s="268"/>
      <c r="BE2" s="269"/>
      <c r="BF2" s="267" t="s">
        <v>330</v>
      </c>
      <c r="BG2" s="270"/>
      <c r="BH2" s="268"/>
      <c r="BI2" s="269"/>
      <c r="BJ2" s="267" t="s">
        <v>331</v>
      </c>
      <c r="BK2" s="270"/>
      <c r="BL2" s="268"/>
      <c r="BM2" s="269"/>
      <c r="BN2" s="267" t="s">
        <v>331</v>
      </c>
      <c r="BO2" s="270"/>
      <c r="BP2" s="268"/>
      <c r="BQ2" s="269"/>
      <c r="BR2" s="267" t="s">
        <v>331</v>
      </c>
      <c r="BS2" s="270"/>
      <c r="BT2" s="268"/>
      <c r="BU2" s="269"/>
      <c r="BV2" s="267" t="s">
        <v>123</v>
      </c>
      <c r="BW2" s="270"/>
      <c r="BX2" s="268"/>
      <c r="BY2" s="269"/>
      <c r="BZ2" s="267" t="s">
        <v>123</v>
      </c>
      <c r="CA2" s="270"/>
      <c r="CB2" s="268"/>
      <c r="CC2" s="269"/>
      <c r="CD2" s="267" t="s">
        <v>332</v>
      </c>
      <c r="CE2" s="270"/>
      <c r="CF2" s="268"/>
      <c r="CG2" s="269"/>
      <c r="CH2" s="267" t="s">
        <v>332</v>
      </c>
      <c r="CI2" s="270"/>
      <c r="CJ2" s="268"/>
      <c r="CK2" s="269"/>
      <c r="CL2" s="267" t="s">
        <v>123</v>
      </c>
      <c r="CM2" s="270"/>
      <c r="CN2" s="268"/>
      <c r="CO2" s="269"/>
      <c r="CP2" s="267" t="s">
        <v>123</v>
      </c>
      <c r="CQ2" s="270"/>
      <c r="CR2" s="268"/>
      <c r="CS2" s="269"/>
      <c r="CT2" s="267" t="s">
        <v>126</v>
      </c>
      <c r="CU2" s="270"/>
      <c r="CV2" s="268"/>
      <c r="CW2" s="269"/>
      <c r="CX2" s="267" t="s">
        <v>432</v>
      </c>
      <c r="CY2" s="270"/>
      <c r="CZ2" s="268"/>
      <c r="DA2" s="269"/>
      <c r="DB2" s="267" t="s">
        <v>129</v>
      </c>
      <c r="DC2" s="270"/>
      <c r="DD2" s="268"/>
      <c r="DF2" s="479" t="s">
        <v>276</v>
      </c>
      <c r="DG2" s="187" t="s">
        <v>296</v>
      </c>
      <c r="DH2" s="480" t="s">
        <v>333</v>
      </c>
    </row>
    <row r="3" spans="1:112" s="364" customFormat="1" ht="16.5" thickTop="1" thickBot="1" x14ac:dyDescent="0.3">
      <c r="A3" s="363"/>
      <c r="B3" s="363"/>
      <c r="C3" s="363"/>
      <c r="D3" s="363"/>
      <c r="E3" s="363"/>
      <c r="F3" s="271" t="s">
        <v>475</v>
      </c>
      <c r="G3" s="272"/>
      <c r="H3" s="271" t="s">
        <v>48</v>
      </c>
      <c r="I3" s="272"/>
      <c r="J3" s="271" t="s">
        <v>475</v>
      </c>
      <c r="K3" s="272"/>
      <c r="L3" s="271" t="s">
        <v>48</v>
      </c>
      <c r="M3" s="272"/>
      <c r="N3" s="271" t="s">
        <v>475</v>
      </c>
      <c r="O3" s="272"/>
      <c r="P3" s="271" t="s">
        <v>48</v>
      </c>
      <c r="Q3" s="272"/>
      <c r="R3" s="271" t="s">
        <v>475</v>
      </c>
      <c r="S3" s="272"/>
      <c r="T3" s="271" t="s">
        <v>48</v>
      </c>
      <c r="U3" s="272"/>
      <c r="V3" s="271" t="s">
        <v>475</v>
      </c>
      <c r="W3" s="272"/>
      <c r="X3" s="271" t="s">
        <v>48</v>
      </c>
      <c r="Y3" s="272"/>
      <c r="Z3" s="271" t="s">
        <v>475</v>
      </c>
      <c r="AA3" s="272"/>
      <c r="AB3" s="271" t="s">
        <v>48</v>
      </c>
      <c r="AC3" s="272"/>
      <c r="AD3" s="271" t="s">
        <v>475</v>
      </c>
      <c r="AE3" s="272"/>
      <c r="AF3" s="271" t="s">
        <v>48</v>
      </c>
      <c r="AG3" s="272"/>
      <c r="AH3" s="271" t="s">
        <v>475</v>
      </c>
      <c r="AI3" s="272"/>
      <c r="AJ3" s="271" t="s">
        <v>48</v>
      </c>
      <c r="AK3" s="272"/>
      <c r="AL3" s="271" t="s">
        <v>475</v>
      </c>
      <c r="AM3" s="272"/>
      <c r="AN3" s="271" t="s">
        <v>48</v>
      </c>
      <c r="AO3" s="272"/>
      <c r="AP3" s="271" t="s">
        <v>475</v>
      </c>
      <c r="AQ3" s="272"/>
      <c r="AR3" s="271" t="s">
        <v>48</v>
      </c>
      <c r="AS3" s="272"/>
      <c r="AT3" s="271" t="s">
        <v>475</v>
      </c>
      <c r="AU3" s="272"/>
      <c r="AV3" s="271" t="s">
        <v>48</v>
      </c>
      <c r="AW3" s="272"/>
      <c r="AX3" s="271" t="s">
        <v>475</v>
      </c>
      <c r="AY3" s="272"/>
      <c r="AZ3" s="271" t="s">
        <v>48</v>
      </c>
      <c r="BA3" s="272"/>
      <c r="BB3" s="271" t="s">
        <v>475</v>
      </c>
      <c r="BC3" s="272"/>
      <c r="BD3" s="271" t="s">
        <v>48</v>
      </c>
      <c r="BE3" s="272"/>
      <c r="BF3" s="271" t="s">
        <v>475</v>
      </c>
      <c r="BG3" s="272"/>
      <c r="BH3" s="271" t="s">
        <v>48</v>
      </c>
      <c r="BI3" s="272"/>
      <c r="BJ3" s="271" t="s">
        <v>475</v>
      </c>
      <c r="BK3" s="272"/>
      <c r="BL3" s="271" t="s">
        <v>48</v>
      </c>
      <c r="BM3" s="272"/>
      <c r="BN3" s="271" t="s">
        <v>475</v>
      </c>
      <c r="BO3" s="272"/>
      <c r="BP3" s="271" t="s">
        <v>48</v>
      </c>
      <c r="BQ3" s="272"/>
      <c r="BR3" s="271" t="s">
        <v>475</v>
      </c>
      <c r="BS3" s="272"/>
      <c r="BT3" s="271" t="s">
        <v>48</v>
      </c>
      <c r="BU3" s="272"/>
      <c r="BV3" s="271" t="s">
        <v>475</v>
      </c>
      <c r="BW3" s="272"/>
      <c r="BX3" s="271" t="s">
        <v>48</v>
      </c>
      <c r="BY3" s="272"/>
      <c r="BZ3" s="271" t="s">
        <v>475</v>
      </c>
      <c r="CA3" s="272"/>
      <c r="CB3" s="271" t="s">
        <v>48</v>
      </c>
      <c r="CC3" s="272"/>
      <c r="CD3" s="271" t="s">
        <v>475</v>
      </c>
      <c r="CE3" s="272"/>
      <c r="CF3" s="271" t="s">
        <v>48</v>
      </c>
      <c r="CG3" s="272"/>
      <c r="CH3" s="271" t="s">
        <v>475</v>
      </c>
      <c r="CI3" s="272"/>
      <c r="CJ3" s="271" t="s">
        <v>48</v>
      </c>
      <c r="CK3" s="272"/>
      <c r="CL3" s="271" t="s">
        <v>475</v>
      </c>
      <c r="CM3" s="272"/>
      <c r="CN3" s="271" t="s">
        <v>48</v>
      </c>
      <c r="CO3" s="272"/>
      <c r="CP3" s="271" t="s">
        <v>475</v>
      </c>
      <c r="CQ3" s="272"/>
      <c r="CR3" s="271" t="s">
        <v>48</v>
      </c>
      <c r="CS3" s="272"/>
      <c r="CT3" s="271" t="s">
        <v>475</v>
      </c>
      <c r="CU3" s="272"/>
      <c r="CV3" s="271" t="s">
        <v>48</v>
      </c>
      <c r="CW3" s="272"/>
      <c r="CX3" s="271" t="s">
        <v>475</v>
      </c>
      <c r="CY3" s="272"/>
      <c r="CZ3" s="271" t="s">
        <v>48</v>
      </c>
      <c r="DA3" s="272"/>
      <c r="DB3" s="271" t="s">
        <v>475</v>
      </c>
      <c r="DC3" s="272"/>
      <c r="DD3" s="271" t="s">
        <v>48</v>
      </c>
      <c r="DF3" s="73"/>
      <c r="DG3" s="337"/>
      <c r="DH3" s="59"/>
    </row>
    <row r="4" spans="1:112" ht="15.75" thickTop="1" x14ac:dyDescent="0.25">
      <c r="A4" s="369"/>
      <c r="B4" s="369" t="s">
        <v>130</v>
      </c>
      <c r="C4" s="369"/>
      <c r="D4" s="369"/>
      <c r="E4" s="369"/>
      <c r="F4" s="366"/>
      <c r="G4" s="274"/>
      <c r="H4" s="366"/>
      <c r="I4" s="274"/>
      <c r="J4" s="366"/>
      <c r="K4" s="274"/>
      <c r="L4" s="366"/>
      <c r="M4" s="274"/>
      <c r="N4" s="366"/>
      <c r="O4" s="274"/>
      <c r="P4" s="366"/>
      <c r="Q4" s="274"/>
      <c r="R4" s="366"/>
      <c r="S4" s="274"/>
      <c r="T4" s="366"/>
      <c r="U4" s="274"/>
      <c r="V4" s="366"/>
      <c r="W4" s="274"/>
      <c r="X4" s="366"/>
      <c r="Y4" s="274"/>
      <c r="Z4" s="366"/>
      <c r="AA4" s="274"/>
      <c r="AB4" s="366"/>
      <c r="AC4" s="274"/>
      <c r="AD4" s="366"/>
      <c r="AE4" s="274"/>
      <c r="AF4" s="366"/>
      <c r="AG4" s="274"/>
      <c r="AH4" s="366"/>
      <c r="AI4" s="274"/>
      <c r="AJ4" s="366"/>
      <c r="AK4" s="274"/>
      <c r="AL4" s="366"/>
      <c r="AM4" s="274"/>
      <c r="AN4" s="366"/>
      <c r="AO4" s="274"/>
      <c r="AP4" s="366"/>
      <c r="AQ4" s="274"/>
      <c r="AR4" s="366"/>
      <c r="AS4" s="274"/>
      <c r="AT4" s="366"/>
      <c r="AU4" s="274"/>
      <c r="AV4" s="366"/>
      <c r="AW4" s="274"/>
      <c r="AX4" s="366"/>
      <c r="AY4" s="274"/>
      <c r="AZ4" s="366"/>
      <c r="BA4" s="274"/>
      <c r="BB4" s="366"/>
      <c r="BC4" s="274"/>
      <c r="BD4" s="366"/>
      <c r="BE4" s="274"/>
      <c r="BF4" s="366"/>
      <c r="BG4" s="274"/>
      <c r="BH4" s="366"/>
      <c r="BI4" s="274"/>
      <c r="BJ4" s="366"/>
      <c r="BK4" s="274"/>
      <c r="BL4" s="366"/>
      <c r="BM4" s="274"/>
      <c r="BN4" s="366"/>
      <c r="BO4" s="274"/>
      <c r="BP4" s="366"/>
      <c r="BQ4" s="274"/>
      <c r="BR4" s="366"/>
      <c r="BS4" s="274"/>
      <c r="BT4" s="366"/>
      <c r="BU4" s="274"/>
      <c r="BV4" s="366"/>
      <c r="BW4" s="274"/>
      <c r="BX4" s="366"/>
      <c r="BY4" s="274"/>
      <c r="BZ4" s="366"/>
      <c r="CA4" s="274"/>
      <c r="CB4" s="274"/>
      <c r="CC4" s="274"/>
      <c r="CD4" s="366"/>
      <c r="CE4" s="274"/>
      <c r="CF4" s="366"/>
      <c r="CG4" s="274"/>
      <c r="CH4" s="366"/>
      <c r="CI4" s="274"/>
      <c r="CJ4" s="366"/>
      <c r="CK4" s="274"/>
      <c r="CL4" s="366"/>
      <c r="CM4" s="274"/>
      <c r="CN4" s="366"/>
      <c r="CO4" s="274"/>
      <c r="CP4" s="366"/>
      <c r="CQ4" s="274"/>
      <c r="CR4" s="274"/>
      <c r="CS4" s="274"/>
      <c r="CT4" s="366"/>
      <c r="CU4" s="274"/>
      <c r="CV4" s="366"/>
      <c r="CW4" s="274"/>
      <c r="CX4" s="366"/>
      <c r="CY4" s="274"/>
      <c r="CZ4" s="274"/>
      <c r="DA4" s="274"/>
      <c r="DB4" s="366"/>
      <c r="DC4" s="274"/>
      <c r="DD4" s="366"/>
      <c r="DF4" s="377"/>
      <c r="DG4" s="390"/>
      <c r="DH4" s="376"/>
    </row>
    <row r="5" spans="1:112" x14ac:dyDescent="0.25">
      <c r="A5" s="369"/>
      <c r="B5" s="369"/>
      <c r="C5" s="369"/>
      <c r="D5" s="369" t="s">
        <v>131</v>
      </c>
      <c r="E5" s="369"/>
      <c r="F5" s="366"/>
      <c r="G5" s="274"/>
      <c r="H5" s="366"/>
      <c r="I5" s="274"/>
      <c r="J5" s="366"/>
      <c r="K5" s="274"/>
      <c r="L5" s="366"/>
      <c r="M5" s="274"/>
      <c r="N5" s="366"/>
      <c r="O5" s="274"/>
      <c r="P5" s="366"/>
      <c r="Q5" s="274"/>
      <c r="R5" s="366"/>
      <c r="S5" s="274"/>
      <c r="T5" s="366"/>
      <c r="U5" s="274"/>
      <c r="V5" s="366"/>
      <c r="W5" s="274"/>
      <c r="X5" s="366"/>
      <c r="Y5" s="274"/>
      <c r="Z5" s="366"/>
      <c r="AA5" s="274"/>
      <c r="AB5" s="366"/>
      <c r="AC5" s="274"/>
      <c r="AD5" s="366"/>
      <c r="AE5" s="274"/>
      <c r="AF5" s="366"/>
      <c r="AG5" s="274"/>
      <c r="AH5" s="366"/>
      <c r="AI5" s="274"/>
      <c r="AJ5" s="366"/>
      <c r="AK5" s="274"/>
      <c r="AL5" s="366"/>
      <c r="AM5" s="274"/>
      <c r="AN5" s="366"/>
      <c r="AO5" s="274"/>
      <c r="AP5" s="366"/>
      <c r="AQ5" s="274"/>
      <c r="AR5" s="366"/>
      <c r="AS5" s="274"/>
      <c r="AT5" s="366"/>
      <c r="AU5" s="274"/>
      <c r="AV5" s="366"/>
      <c r="AW5" s="274"/>
      <c r="AX5" s="366"/>
      <c r="AY5" s="274"/>
      <c r="AZ5" s="366"/>
      <c r="BA5" s="274"/>
      <c r="BB5" s="366"/>
      <c r="BC5" s="274"/>
      <c r="BD5" s="366"/>
      <c r="BE5" s="274"/>
      <c r="BF5" s="366"/>
      <c r="BG5" s="274"/>
      <c r="BH5" s="366"/>
      <c r="BI5" s="274"/>
      <c r="BJ5" s="366"/>
      <c r="BK5" s="274"/>
      <c r="BL5" s="366"/>
      <c r="BM5" s="274"/>
      <c r="BN5" s="366"/>
      <c r="BO5" s="274"/>
      <c r="BP5" s="366"/>
      <c r="BQ5" s="274"/>
      <c r="BR5" s="366"/>
      <c r="BS5" s="274"/>
      <c r="BT5" s="366"/>
      <c r="BU5" s="274"/>
      <c r="BV5" s="366"/>
      <c r="BW5" s="274"/>
      <c r="BX5" s="366"/>
      <c r="BY5" s="274"/>
      <c r="BZ5" s="366"/>
      <c r="CA5" s="274"/>
      <c r="CB5" s="274"/>
      <c r="CC5" s="274"/>
      <c r="CD5" s="366"/>
      <c r="CE5" s="274"/>
      <c r="CF5" s="366"/>
      <c r="CG5" s="274"/>
      <c r="CH5" s="366"/>
      <c r="CI5" s="274"/>
      <c r="CJ5" s="366"/>
      <c r="CK5" s="274"/>
      <c r="CL5" s="366"/>
      <c r="CM5" s="274"/>
      <c r="CN5" s="366"/>
      <c r="CO5" s="274"/>
      <c r="CP5" s="366"/>
      <c r="CQ5" s="274"/>
      <c r="CR5" s="274"/>
      <c r="CS5" s="274"/>
      <c r="CT5" s="366"/>
      <c r="CU5" s="274"/>
      <c r="CV5" s="366"/>
      <c r="CW5" s="274"/>
      <c r="CX5" s="366"/>
      <c r="CY5" s="274"/>
      <c r="CZ5" s="274"/>
      <c r="DA5" s="274"/>
      <c r="DB5" s="366"/>
      <c r="DC5" s="274"/>
      <c r="DD5" s="366"/>
      <c r="DF5" s="377"/>
      <c r="DG5" s="390"/>
      <c r="DH5" s="376"/>
    </row>
    <row r="6" spans="1:112" x14ac:dyDescent="0.25">
      <c r="A6" s="369"/>
      <c r="B6" s="369"/>
      <c r="C6" s="369"/>
      <c r="D6" s="369"/>
      <c r="E6" s="369" t="s">
        <v>133</v>
      </c>
      <c r="F6" s="366">
        <v>0</v>
      </c>
      <c r="G6" s="274"/>
      <c r="H6" s="366">
        <v>550</v>
      </c>
      <c r="I6" s="274"/>
      <c r="J6" s="366">
        <v>4860.92</v>
      </c>
      <c r="K6" s="274"/>
      <c r="L6" s="366">
        <v>9400</v>
      </c>
      <c r="M6" s="274"/>
      <c r="N6" s="366">
        <f t="shared" ref="N6:N11" si="0">ROUND(F6+J6,5)</f>
        <v>4860.92</v>
      </c>
      <c r="O6" s="274"/>
      <c r="P6" s="366">
        <f>ROUND(H6+L6,5)</f>
        <v>9950</v>
      </c>
      <c r="Q6" s="274"/>
      <c r="R6" s="366">
        <v>41653.879999999997</v>
      </c>
      <c r="S6" s="274"/>
      <c r="T6" s="366">
        <v>150000</v>
      </c>
      <c r="U6" s="274"/>
      <c r="V6" s="366">
        <v>0</v>
      </c>
      <c r="W6" s="274"/>
      <c r="X6" s="366"/>
      <c r="Y6" s="274"/>
      <c r="Z6" s="366">
        <v>0</v>
      </c>
      <c r="AA6" s="274"/>
      <c r="AB6" s="366"/>
      <c r="AC6" s="274"/>
      <c r="AD6" s="366">
        <v>0</v>
      </c>
      <c r="AE6" s="274"/>
      <c r="AF6" s="366">
        <v>0</v>
      </c>
      <c r="AG6" s="274"/>
      <c r="AH6" s="366">
        <v>0</v>
      </c>
      <c r="AI6" s="274"/>
      <c r="AJ6" s="366"/>
      <c r="AK6" s="274"/>
      <c r="AL6" s="366">
        <v>0</v>
      </c>
      <c r="AM6" s="274"/>
      <c r="AN6" s="366">
        <v>185000</v>
      </c>
      <c r="AO6" s="274"/>
      <c r="AP6" s="366">
        <f t="shared" ref="AP6:AP11" si="1">ROUND(V6+Z6+AD6+AH6+AL6,5)</f>
        <v>0</v>
      </c>
      <c r="AQ6" s="274"/>
      <c r="AR6" s="366">
        <f>ROUND(X6+AB6+AF6+AJ6+AN6,5)</f>
        <v>185000</v>
      </c>
      <c r="AS6" s="274"/>
      <c r="AT6" s="366">
        <v>0</v>
      </c>
      <c r="AU6" s="274"/>
      <c r="AV6" s="366"/>
      <c r="AW6" s="274"/>
      <c r="AX6" s="366">
        <v>0</v>
      </c>
      <c r="AY6" s="274"/>
      <c r="AZ6" s="366"/>
      <c r="BA6" s="274"/>
      <c r="BB6" s="366">
        <v>4750</v>
      </c>
      <c r="BC6" s="274"/>
      <c r="BD6" s="366">
        <v>80000</v>
      </c>
      <c r="BE6" s="274"/>
      <c r="BF6" s="366">
        <v>0</v>
      </c>
      <c r="BG6" s="274"/>
      <c r="BH6" s="366">
        <v>0</v>
      </c>
      <c r="BI6" s="274"/>
      <c r="BJ6" s="366">
        <f t="shared" ref="BJ6:BJ11" si="2">ROUND(AT6+AX6+BB6+BF6,5)</f>
        <v>4750</v>
      </c>
      <c r="BK6" s="274"/>
      <c r="BL6" s="366">
        <f>ROUND(AV6+AZ6+BD6+BH6,5)</f>
        <v>80000</v>
      </c>
      <c r="BM6" s="274"/>
      <c r="BN6" s="366">
        <v>0</v>
      </c>
      <c r="BO6" s="274"/>
      <c r="BP6" s="366"/>
      <c r="BQ6" s="274"/>
      <c r="BR6" s="366">
        <v>0</v>
      </c>
      <c r="BS6" s="274"/>
      <c r="BT6" s="366">
        <v>0</v>
      </c>
      <c r="BU6" s="274"/>
      <c r="BV6" s="366">
        <f t="shared" ref="BV6:BV11" si="3">ROUND(BJ6+BN6+BR6,5)</f>
        <v>4750</v>
      </c>
      <c r="BW6" s="274"/>
      <c r="BX6" s="366">
        <f>ROUND(BL6+BP6+BT6,5)</f>
        <v>80000</v>
      </c>
      <c r="BY6" s="274"/>
      <c r="BZ6" s="366">
        <v>20000</v>
      </c>
      <c r="CA6" s="274"/>
      <c r="CB6" s="274"/>
      <c r="CC6" s="274"/>
      <c r="CD6" s="366">
        <v>0</v>
      </c>
      <c r="CE6" s="274"/>
      <c r="CF6" s="366"/>
      <c r="CG6" s="274"/>
      <c r="CH6" s="366">
        <v>7018</v>
      </c>
      <c r="CI6" s="274"/>
      <c r="CJ6" s="366">
        <v>51000</v>
      </c>
      <c r="CK6" s="274"/>
      <c r="CL6" s="366">
        <f t="shared" ref="CL6:CL11" si="4">ROUND(CD6+CH6,5)</f>
        <v>7018</v>
      </c>
      <c r="CM6" s="274"/>
      <c r="CN6" s="366">
        <f>ROUND(CF6+CJ6,5)</f>
        <v>51000</v>
      </c>
      <c r="CO6" s="274"/>
      <c r="CP6" s="366">
        <v>60000</v>
      </c>
      <c r="CQ6" s="274"/>
      <c r="CR6" s="274"/>
      <c r="CS6" s="274"/>
      <c r="CT6" s="366">
        <f t="shared" ref="CT6:CT11" si="5">ROUND(AP6+BV6+BZ6+CL6+CP6,5)</f>
        <v>91768</v>
      </c>
      <c r="CU6" s="274"/>
      <c r="CV6" s="366">
        <f>ROUND(AR6+BX6+CB6+CN6+CR6,5)</f>
        <v>316000</v>
      </c>
      <c r="CW6" s="274"/>
      <c r="CX6" s="366">
        <v>0</v>
      </c>
      <c r="CY6" s="274"/>
      <c r="CZ6" s="274"/>
      <c r="DA6" s="274"/>
      <c r="DB6" s="366">
        <f t="shared" ref="DB6:DB11" si="6">ROUND(N6+R6+CT6+CX6,5)</f>
        <v>138282.79999999999</v>
      </c>
      <c r="DC6" s="274"/>
      <c r="DD6" s="366">
        <f t="shared" ref="DD6:DD11" si="7">ROUND(P6+T6+CV6+CZ6,5)</f>
        <v>475950</v>
      </c>
      <c r="DF6" s="377">
        <f t="shared" ref="DF6:DF36" si="8">DD6-DG6</f>
        <v>159950</v>
      </c>
      <c r="DG6" s="390">
        <f t="shared" ref="DG6:DG36" si="9">AR6+BD6+CJ6</f>
        <v>316000</v>
      </c>
      <c r="DH6" s="376">
        <f t="shared" ref="DH6:DH36" si="10">DF6+DG6</f>
        <v>475950</v>
      </c>
    </row>
    <row r="7" spans="1:112" x14ac:dyDescent="0.25">
      <c r="A7" s="369"/>
      <c r="B7" s="369"/>
      <c r="C7" s="369"/>
      <c r="D7" s="369"/>
      <c r="E7" s="369" t="s">
        <v>341</v>
      </c>
      <c r="F7" s="366">
        <v>0</v>
      </c>
      <c r="G7" s="274"/>
      <c r="H7" s="366"/>
      <c r="I7" s="274"/>
      <c r="J7" s="366">
        <v>0</v>
      </c>
      <c r="K7" s="274"/>
      <c r="L7" s="366"/>
      <c r="M7" s="274"/>
      <c r="N7" s="366">
        <f t="shared" si="0"/>
        <v>0</v>
      </c>
      <c r="O7" s="274"/>
      <c r="P7" s="366"/>
      <c r="Q7" s="274"/>
      <c r="R7" s="366">
        <v>0</v>
      </c>
      <c r="S7" s="274"/>
      <c r="T7" s="366">
        <v>0</v>
      </c>
      <c r="U7" s="274"/>
      <c r="V7" s="366">
        <v>0</v>
      </c>
      <c r="W7" s="274"/>
      <c r="X7" s="366"/>
      <c r="Y7" s="274"/>
      <c r="Z7" s="366">
        <v>0</v>
      </c>
      <c r="AA7" s="274"/>
      <c r="AB7" s="366">
        <v>0</v>
      </c>
      <c r="AC7" s="274"/>
      <c r="AD7" s="366">
        <v>0</v>
      </c>
      <c r="AE7" s="274"/>
      <c r="AF7" s="366"/>
      <c r="AG7" s="274"/>
      <c r="AH7" s="366">
        <v>0</v>
      </c>
      <c r="AI7" s="274"/>
      <c r="AJ7" s="366"/>
      <c r="AK7" s="274"/>
      <c r="AL7" s="366">
        <v>0</v>
      </c>
      <c r="AM7" s="274"/>
      <c r="AN7" s="366"/>
      <c r="AO7" s="274"/>
      <c r="AP7" s="366">
        <f t="shared" si="1"/>
        <v>0</v>
      </c>
      <c r="AQ7" s="274"/>
      <c r="AR7" s="366">
        <f>ROUND(X7+AB7+AF7+AJ7+AN7,5)</f>
        <v>0</v>
      </c>
      <c r="AS7" s="274"/>
      <c r="AT7" s="366">
        <v>0</v>
      </c>
      <c r="AU7" s="274"/>
      <c r="AV7" s="366"/>
      <c r="AW7" s="274"/>
      <c r="AX7" s="366">
        <v>0</v>
      </c>
      <c r="AY7" s="274"/>
      <c r="AZ7" s="366"/>
      <c r="BA7" s="274"/>
      <c r="BB7" s="366">
        <v>0</v>
      </c>
      <c r="BC7" s="274"/>
      <c r="BD7" s="366"/>
      <c r="BE7" s="274"/>
      <c r="BF7" s="366">
        <v>0</v>
      </c>
      <c r="BG7" s="274"/>
      <c r="BH7" s="366"/>
      <c r="BI7" s="274"/>
      <c r="BJ7" s="366">
        <f t="shared" si="2"/>
        <v>0</v>
      </c>
      <c r="BK7" s="274"/>
      <c r="BL7" s="366"/>
      <c r="BM7" s="274"/>
      <c r="BN7" s="366">
        <v>0</v>
      </c>
      <c r="BO7" s="274"/>
      <c r="BP7" s="366"/>
      <c r="BQ7" s="274"/>
      <c r="BR7" s="366">
        <v>27620.35</v>
      </c>
      <c r="BS7" s="274"/>
      <c r="BT7" s="366">
        <v>35000</v>
      </c>
      <c r="BU7" s="274"/>
      <c r="BV7" s="366">
        <f t="shared" si="3"/>
        <v>27620.35</v>
      </c>
      <c r="BW7" s="274"/>
      <c r="BX7" s="366">
        <f>ROUND(BL7+BP7+BT7,5)</f>
        <v>35000</v>
      </c>
      <c r="BY7" s="274"/>
      <c r="BZ7" s="366">
        <v>0</v>
      </c>
      <c r="CA7" s="274"/>
      <c r="CB7" s="274"/>
      <c r="CC7" s="274"/>
      <c r="CD7" s="366">
        <v>0</v>
      </c>
      <c r="CE7" s="274"/>
      <c r="CF7" s="366"/>
      <c r="CG7" s="274"/>
      <c r="CH7" s="366">
        <v>0</v>
      </c>
      <c r="CI7" s="274"/>
      <c r="CJ7" s="366">
        <v>0</v>
      </c>
      <c r="CK7" s="274"/>
      <c r="CL7" s="366">
        <f t="shared" si="4"/>
        <v>0</v>
      </c>
      <c r="CM7" s="274"/>
      <c r="CN7" s="366">
        <f>ROUND(CF7+CJ7,5)</f>
        <v>0</v>
      </c>
      <c r="CO7" s="274"/>
      <c r="CP7" s="366">
        <v>0</v>
      </c>
      <c r="CQ7" s="274"/>
      <c r="CR7" s="274"/>
      <c r="CS7" s="274"/>
      <c r="CT7" s="366">
        <f t="shared" si="5"/>
        <v>27620.35</v>
      </c>
      <c r="CU7" s="274"/>
      <c r="CV7" s="366">
        <f>ROUND(AR7+BX7+CB7+CN7+CR7,5)</f>
        <v>35000</v>
      </c>
      <c r="CW7" s="274"/>
      <c r="CX7" s="366">
        <v>0</v>
      </c>
      <c r="CY7" s="274"/>
      <c r="CZ7" s="274"/>
      <c r="DA7" s="274"/>
      <c r="DB7" s="366">
        <f t="shared" si="6"/>
        <v>27620.35</v>
      </c>
      <c r="DC7" s="274"/>
      <c r="DD7" s="366">
        <f t="shared" si="7"/>
        <v>35000</v>
      </c>
      <c r="DF7" s="377">
        <f t="shared" si="8"/>
        <v>35000</v>
      </c>
      <c r="DG7" s="390">
        <f t="shared" si="9"/>
        <v>0</v>
      </c>
      <c r="DH7" s="376">
        <f t="shared" si="10"/>
        <v>35000</v>
      </c>
    </row>
    <row r="8" spans="1:112" x14ac:dyDescent="0.25">
      <c r="A8" s="369"/>
      <c r="B8" s="369"/>
      <c r="C8" s="369"/>
      <c r="D8" s="369"/>
      <c r="E8" s="369" t="s">
        <v>345</v>
      </c>
      <c r="F8" s="366">
        <v>0</v>
      </c>
      <c r="G8" s="274"/>
      <c r="H8" s="366"/>
      <c r="I8" s="274"/>
      <c r="J8" s="366">
        <v>525</v>
      </c>
      <c r="K8" s="274"/>
      <c r="L8" s="366">
        <v>2100</v>
      </c>
      <c r="M8" s="274"/>
      <c r="N8" s="366">
        <f t="shared" si="0"/>
        <v>525</v>
      </c>
      <c r="O8" s="274"/>
      <c r="P8" s="366">
        <f>ROUND(H8+L8,5)</f>
        <v>2100</v>
      </c>
      <c r="Q8" s="274"/>
      <c r="R8" s="366">
        <v>0</v>
      </c>
      <c r="S8" s="274"/>
      <c r="T8" s="366"/>
      <c r="U8" s="274"/>
      <c r="V8" s="366">
        <v>0</v>
      </c>
      <c r="W8" s="274"/>
      <c r="X8" s="366"/>
      <c r="Y8" s="274"/>
      <c r="Z8" s="366">
        <v>0</v>
      </c>
      <c r="AA8" s="274"/>
      <c r="AB8" s="366"/>
      <c r="AC8" s="274"/>
      <c r="AD8" s="366">
        <v>0</v>
      </c>
      <c r="AE8" s="274"/>
      <c r="AF8" s="366"/>
      <c r="AG8" s="274"/>
      <c r="AH8" s="366">
        <v>0</v>
      </c>
      <c r="AI8" s="274"/>
      <c r="AJ8" s="366"/>
      <c r="AK8" s="274"/>
      <c r="AL8" s="366">
        <v>0</v>
      </c>
      <c r="AM8" s="274"/>
      <c r="AN8" s="366"/>
      <c r="AO8" s="274"/>
      <c r="AP8" s="366">
        <f t="shared" si="1"/>
        <v>0</v>
      </c>
      <c r="AQ8" s="274"/>
      <c r="AR8" s="366"/>
      <c r="AS8" s="274"/>
      <c r="AT8" s="366">
        <v>0</v>
      </c>
      <c r="AU8" s="274"/>
      <c r="AV8" s="366"/>
      <c r="AW8" s="274"/>
      <c r="AX8" s="366">
        <v>0</v>
      </c>
      <c r="AY8" s="274"/>
      <c r="AZ8" s="366"/>
      <c r="BA8" s="274"/>
      <c r="BB8" s="366">
        <v>0</v>
      </c>
      <c r="BC8" s="274"/>
      <c r="BD8" s="366"/>
      <c r="BE8" s="274"/>
      <c r="BF8" s="366">
        <v>0</v>
      </c>
      <c r="BG8" s="274"/>
      <c r="BH8" s="366"/>
      <c r="BI8" s="274"/>
      <c r="BJ8" s="366">
        <f t="shared" si="2"/>
        <v>0</v>
      </c>
      <c r="BK8" s="274"/>
      <c r="BL8" s="366"/>
      <c r="BM8" s="274"/>
      <c r="BN8" s="366">
        <v>0</v>
      </c>
      <c r="BO8" s="274"/>
      <c r="BP8" s="366"/>
      <c r="BQ8" s="274"/>
      <c r="BR8" s="366">
        <v>0</v>
      </c>
      <c r="BS8" s="274"/>
      <c r="BT8" s="366"/>
      <c r="BU8" s="274"/>
      <c r="BV8" s="366">
        <f t="shared" si="3"/>
        <v>0</v>
      </c>
      <c r="BW8" s="274"/>
      <c r="BX8" s="366"/>
      <c r="BY8" s="274"/>
      <c r="BZ8" s="366">
        <v>0</v>
      </c>
      <c r="CA8" s="274"/>
      <c r="CB8" s="274"/>
      <c r="CC8" s="274"/>
      <c r="CD8" s="366">
        <v>0</v>
      </c>
      <c r="CE8" s="274"/>
      <c r="CF8" s="366"/>
      <c r="CG8" s="274"/>
      <c r="CH8" s="366">
        <v>0</v>
      </c>
      <c r="CI8" s="274"/>
      <c r="CJ8" s="366"/>
      <c r="CK8" s="274"/>
      <c r="CL8" s="366">
        <f t="shared" si="4"/>
        <v>0</v>
      </c>
      <c r="CM8" s="274"/>
      <c r="CN8" s="366"/>
      <c r="CO8" s="274"/>
      <c r="CP8" s="366">
        <v>0</v>
      </c>
      <c r="CQ8" s="274"/>
      <c r="CR8" s="274"/>
      <c r="CS8" s="274"/>
      <c r="CT8" s="366">
        <f t="shared" si="5"/>
        <v>0</v>
      </c>
      <c r="CU8" s="274"/>
      <c r="CV8" s="366"/>
      <c r="CW8" s="274"/>
      <c r="CX8" s="366">
        <v>0</v>
      </c>
      <c r="CY8" s="274"/>
      <c r="CZ8" s="274"/>
      <c r="DA8" s="274"/>
      <c r="DB8" s="366">
        <f t="shared" si="6"/>
        <v>525</v>
      </c>
      <c r="DC8" s="274"/>
      <c r="DD8" s="366">
        <f t="shared" si="7"/>
        <v>2100</v>
      </c>
      <c r="DF8" s="377">
        <f t="shared" si="8"/>
        <v>2100</v>
      </c>
      <c r="DG8" s="390">
        <f t="shared" si="9"/>
        <v>0</v>
      </c>
      <c r="DH8" s="376">
        <f t="shared" si="10"/>
        <v>2100</v>
      </c>
    </row>
    <row r="9" spans="1:112" x14ac:dyDescent="0.25">
      <c r="A9" s="369"/>
      <c r="B9" s="369"/>
      <c r="C9" s="369"/>
      <c r="D9" s="369"/>
      <c r="E9" s="369" t="s">
        <v>136</v>
      </c>
      <c r="F9" s="366">
        <v>0</v>
      </c>
      <c r="G9" s="274"/>
      <c r="H9" s="366"/>
      <c r="I9" s="274"/>
      <c r="J9" s="366">
        <v>421.09</v>
      </c>
      <c r="K9" s="274"/>
      <c r="L9" s="366">
        <v>2000</v>
      </c>
      <c r="M9" s="274"/>
      <c r="N9" s="366">
        <f t="shared" si="0"/>
        <v>421.09</v>
      </c>
      <c r="O9" s="274"/>
      <c r="P9" s="366">
        <f>ROUND(H9+L9,5)</f>
        <v>2000</v>
      </c>
      <c r="Q9" s="274"/>
      <c r="R9" s="366">
        <v>0</v>
      </c>
      <c r="S9" s="274"/>
      <c r="T9" s="366"/>
      <c r="U9" s="274"/>
      <c r="V9" s="366">
        <v>0</v>
      </c>
      <c r="W9" s="274"/>
      <c r="X9" s="366"/>
      <c r="Y9" s="274"/>
      <c r="Z9" s="366">
        <v>0</v>
      </c>
      <c r="AA9" s="274"/>
      <c r="AB9" s="366"/>
      <c r="AC9" s="274"/>
      <c r="AD9" s="366">
        <v>0</v>
      </c>
      <c r="AE9" s="274"/>
      <c r="AF9" s="366"/>
      <c r="AG9" s="274"/>
      <c r="AH9" s="366">
        <v>0</v>
      </c>
      <c r="AI9" s="274"/>
      <c r="AJ9" s="366"/>
      <c r="AK9" s="274"/>
      <c r="AL9" s="366">
        <v>0</v>
      </c>
      <c r="AM9" s="274"/>
      <c r="AN9" s="366"/>
      <c r="AO9" s="274"/>
      <c r="AP9" s="366">
        <f t="shared" si="1"/>
        <v>0</v>
      </c>
      <c r="AQ9" s="274"/>
      <c r="AR9" s="366"/>
      <c r="AS9" s="274"/>
      <c r="AT9" s="366">
        <v>0</v>
      </c>
      <c r="AU9" s="274"/>
      <c r="AV9" s="366"/>
      <c r="AW9" s="274"/>
      <c r="AX9" s="366">
        <v>0</v>
      </c>
      <c r="AY9" s="274"/>
      <c r="AZ9" s="366"/>
      <c r="BA9" s="274"/>
      <c r="BB9" s="366">
        <v>0</v>
      </c>
      <c r="BC9" s="274"/>
      <c r="BD9" s="366"/>
      <c r="BE9" s="274"/>
      <c r="BF9" s="366">
        <v>0</v>
      </c>
      <c r="BG9" s="274"/>
      <c r="BH9" s="366"/>
      <c r="BI9" s="274"/>
      <c r="BJ9" s="366">
        <f t="shared" si="2"/>
        <v>0</v>
      </c>
      <c r="BK9" s="274"/>
      <c r="BL9" s="366"/>
      <c r="BM9" s="274"/>
      <c r="BN9" s="366">
        <v>0</v>
      </c>
      <c r="BO9" s="274"/>
      <c r="BP9" s="366"/>
      <c r="BQ9" s="274"/>
      <c r="BR9" s="366">
        <v>0</v>
      </c>
      <c r="BS9" s="274"/>
      <c r="BT9" s="366"/>
      <c r="BU9" s="274"/>
      <c r="BV9" s="366">
        <f t="shared" si="3"/>
        <v>0</v>
      </c>
      <c r="BW9" s="274"/>
      <c r="BX9" s="366"/>
      <c r="BY9" s="274"/>
      <c r="BZ9" s="366">
        <v>0</v>
      </c>
      <c r="CA9" s="274"/>
      <c r="CB9" s="274"/>
      <c r="CC9" s="274"/>
      <c r="CD9" s="366">
        <v>0</v>
      </c>
      <c r="CE9" s="274"/>
      <c r="CF9" s="366"/>
      <c r="CG9" s="274"/>
      <c r="CH9" s="366">
        <v>0</v>
      </c>
      <c r="CI9" s="274"/>
      <c r="CJ9" s="366"/>
      <c r="CK9" s="274"/>
      <c r="CL9" s="366">
        <f t="shared" si="4"/>
        <v>0</v>
      </c>
      <c r="CM9" s="274"/>
      <c r="CN9" s="366"/>
      <c r="CO9" s="274"/>
      <c r="CP9" s="366">
        <v>0</v>
      </c>
      <c r="CQ9" s="274"/>
      <c r="CR9" s="274"/>
      <c r="CS9" s="274"/>
      <c r="CT9" s="366">
        <f t="shared" si="5"/>
        <v>0</v>
      </c>
      <c r="CU9" s="274"/>
      <c r="CV9" s="366"/>
      <c r="CW9" s="274"/>
      <c r="CX9" s="366">
        <v>0</v>
      </c>
      <c r="CY9" s="274"/>
      <c r="CZ9" s="274"/>
      <c r="DA9" s="274"/>
      <c r="DB9" s="366">
        <f t="shared" si="6"/>
        <v>421.09</v>
      </c>
      <c r="DC9" s="274"/>
      <c r="DD9" s="366">
        <f t="shared" si="7"/>
        <v>2000</v>
      </c>
      <c r="DF9" s="377">
        <f t="shared" si="8"/>
        <v>2000</v>
      </c>
      <c r="DG9" s="390">
        <f t="shared" si="9"/>
        <v>0</v>
      </c>
      <c r="DH9" s="376">
        <f t="shared" si="10"/>
        <v>2000</v>
      </c>
    </row>
    <row r="10" spans="1:112" ht="15.75" thickBot="1" x14ac:dyDescent="0.3">
      <c r="A10" s="369"/>
      <c r="B10" s="369"/>
      <c r="C10" s="369"/>
      <c r="D10" s="369"/>
      <c r="E10" s="369" t="s">
        <v>346</v>
      </c>
      <c r="F10" s="275">
        <v>0</v>
      </c>
      <c r="G10" s="274"/>
      <c r="H10" s="275"/>
      <c r="I10" s="274"/>
      <c r="J10" s="275">
        <v>0</v>
      </c>
      <c r="K10" s="274"/>
      <c r="L10" s="275"/>
      <c r="M10" s="274"/>
      <c r="N10" s="275">
        <f t="shared" si="0"/>
        <v>0</v>
      </c>
      <c r="O10" s="274"/>
      <c r="P10" s="275"/>
      <c r="Q10" s="274"/>
      <c r="R10" s="275">
        <v>0</v>
      </c>
      <c r="S10" s="274"/>
      <c r="T10" s="275"/>
      <c r="U10" s="274"/>
      <c r="V10" s="275">
        <v>0</v>
      </c>
      <c r="W10" s="274"/>
      <c r="X10" s="366"/>
      <c r="Y10" s="274"/>
      <c r="Z10" s="275">
        <v>0</v>
      </c>
      <c r="AA10" s="274"/>
      <c r="AB10" s="275">
        <v>0</v>
      </c>
      <c r="AC10" s="274"/>
      <c r="AD10" s="275">
        <v>0</v>
      </c>
      <c r="AE10" s="274"/>
      <c r="AF10" s="275"/>
      <c r="AG10" s="274"/>
      <c r="AH10" s="275">
        <v>0</v>
      </c>
      <c r="AI10" s="274"/>
      <c r="AJ10" s="366"/>
      <c r="AK10" s="274"/>
      <c r="AL10" s="275">
        <v>0</v>
      </c>
      <c r="AM10" s="274"/>
      <c r="AN10" s="275"/>
      <c r="AO10" s="274"/>
      <c r="AP10" s="275">
        <f t="shared" si="1"/>
        <v>0</v>
      </c>
      <c r="AQ10" s="274"/>
      <c r="AR10" s="275">
        <f>ROUND(X10+AB10+AF10+AJ10+AN10,5)</f>
        <v>0</v>
      </c>
      <c r="AS10" s="274"/>
      <c r="AT10" s="275">
        <v>0</v>
      </c>
      <c r="AU10" s="274"/>
      <c r="AV10" s="366"/>
      <c r="AW10" s="274"/>
      <c r="AX10" s="275">
        <v>0</v>
      </c>
      <c r="AY10" s="274"/>
      <c r="AZ10" s="366"/>
      <c r="BA10" s="274"/>
      <c r="BB10" s="275">
        <v>0</v>
      </c>
      <c r="BC10" s="274"/>
      <c r="BD10" s="275"/>
      <c r="BE10" s="274"/>
      <c r="BF10" s="275">
        <v>0</v>
      </c>
      <c r="BG10" s="274"/>
      <c r="BH10" s="275"/>
      <c r="BI10" s="274"/>
      <c r="BJ10" s="275">
        <f t="shared" si="2"/>
        <v>0</v>
      </c>
      <c r="BK10" s="274"/>
      <c r="BL10" s="275"/>
      <c r="BM10" s="274"/>
      <c r="BN10" s="275">
        <v>0</v>
      </c>
      <c r="BO10" s="274"/>
      <c r="BP10" s="366"/>
      <c r="BQ10" s="274"/>
      <c r="BR10" s="275">
        <v>0</v>
      </c>
      <c r="BS10" s="274"/>
      <c r="BT10" s="275">
        <v>0</v>
      </c>
      <c r="BU10" s="274"/>
      <c r="BV10" s="275">
        <f t="shared" si="3"/>
        <v>0</v>
      </c>
      <c r="BW10" s="274"/>
      <c r="BX10" s="275">
        <f>ROUND(BL10+BP10+BT10,5)</f>
        <v>0</v>
      </c>
      <c r="BY10" s="274"/>
      <c r="BZ10" s="275">
        <v>0</v>
      </c>
      <c r="CA10" s="274"/>
      <c r="CB10" s="274"/>
      <c r="CC10" s="274"/>
      <c r="CD10" s="275">
        <v>0</v>
      </c>
      <c r="CE10" s="274"/>
      <c r="CF10" s="366"/>
      <c r="CG10" s="274"/>
      <c r="CH10" s="275">
        <v>0</v>
      </c>
      <c r="CI10" s="274"/>
      <c r="CJ10" s="275"/>
      <c r="CK10" s="274"/>
      <c r="CL10" s="275">
        <f t="shared" si="4"/>
        <v>0</v>
      </c>
      <c r="CM10" s="274"/>
      <c r="CN10" s="275"/>
      <c r="CO10" s="274"/>
      <c r="CP10" s="275">
        <v>0</v>
      </c>
      <c r="CQ10" s="274"/>
      <c r="CR10" s="274"/>
      <c r="CS10" s="274"/>
      <c r="CT10" s="275">
        <f t="shared" si="5"/>
        <v>0</v>
      </c>
      <c r="CU10" s="274"/>
      <c r="CV10" s="275">
        <f>ROUND(AR10+BX10+CB10+CN10+CR10,5)</f>
        <v>0</v>
      </c>
      <c r="CW10" s="274"/>
      <c r="CX10" s="275">
        <v>0</v>
      </c>
      <c r="CY10" s="274"/>
      <c r="CZ10" s="274"/>
      <c r="DA10" s="274"/>
      <c r="DB10" s="275">
        <f t="shared" si="6"/>
        <v>0</v>
      </c>
      <c r="DC10" s="274"/>
      <c r="DD10" s="275">
        <f t="shared" si="7"/>
        <v>0</v>
      </c>
      <c r="DF10" s="377">
        <f t="shared" si="8"/>
        <v>0</v>
      </c>
      <c r="DG10" s="390">
        <f t="shared" si="9"/>
        <v>0</v>
      </c>
      <c r="DH10" s="376">
        <f t="shared" si="10"/>
        <v>0</v>
      </c>
    </row>
    <row r="11" spans="1:112" x14ac:dyDescent="0.25">
      <c r="A11" s="369"/>
      <c r="B11" s="369"/>
      <c r="C11" s="369"/>
      <c r="D11" s="369" t="s">
        <v>9</v>
      </c>
      <c r="E11" s="369"/>
      <c r="F11" s="366">
        <f>ROUND(SUM(F5:F10),5)</f>
        <v>0</v>
      </c>
      <c r="G11" s="274"/>
      <c r="H11" s="366">
        <f>ROUND(SUM(H5:H10),5)</f>
        <v>550</v>
      </c>
      <c r="I11" s="274"/>
      <c r="J11" s="366">
        <f>ROUND(SUM(J5:J10),5)</f>
        <v>5807.01</v>
      </c>
      <c r="K11" s="274"/>
      <c r="L11" s="366">
        <f>ROUND(SUM(L5:L10),5)</f>
        <v>13500</v>
      </c>
      <c r="M11" s="274"/>
      <c r="N11" s="366">
        <f t="shared" si="0"/>
        <v>5807.01</v>
      </c>
      <c r="O11" s="274"/>
      <c r="P11" s="366">
        <f>ROUND(H11+L11,5)</f>
        <v>14050</v>
      </c>
      <c r="Q11" s="274"/>
      <c r="R11" s="366">
        <f>ROUND(SUM(R5:R10),5)</f>
        <v>41653.879999999997</v>
      </c>
      <c r="S11" s="274"/>
      <c r="T11" s="366">
        <f>ROUND(SUM(T5:T10),5)</f>
        <v>150000</v>
      </c>
      <c r="U11" s="274"/>
      <c r="V11" s="366">
        <f>ROUND(SUM(V5:V10),5)</f>
        <v>0</v>
      </c>
      <c r="W11" s="274"/>
      <c r="X11" s="366"/>
      <c r="Y11" s="274"/>
      <c r="Z11" s="366">
        <f>ROUND(SUM(Z5:Z10),5)</f>
        <v>0</v>
      </c>
      <c r="AA11" s="274"/>
      <c r="AB11" s="366">
        <f>ROUND(SUM(AB5:AB10),5)</f>
        <v>0</v>
      </c>
      <c r="AC11" s="274"/>
      <c r="AD11" s="366">
        <f>ROUND(SUM(AD5:AD10),5)</f>
        <v>0</v>
      </c>
      <c r="AE11" s="274"/>
      <c r="AF11" s="366">
        <f>ROUND(SUM(AF5:AF10),5)</f>
        <v>0</v>
      </c>
      <c r="AG11" s="274"/>
      <c r="AH11" s="366">
        <f>ROUND(SUM(AH5:AH10),5)</f>
        <v>0</v>
      </c>
      <c r="AI11" s="274"/>
      <c r="AJ11" s="366"/>
      <c r="AK11" s="274"/>
      <c r="AL11" s="366">
        <f>ROUND(SUM(AL5:AL10),5)</f>
        <v>0</v>
      </c>
      <c r="AM11" s="274"/>
      <c r="AN11" s="366">
        <f>ROUND(SUM(AN5:AN10),5)</f>
        <v>185000</v>
      </c>
      <c r="AO11" s="274"/>
      <c r="AP11" s="366">
        <f t="shared" si="1"/>
        <v>0</v>
      </c>
      <c r="AQ11" s="274"/>
      <c r="AR11" s="366">
        <f>ROUND(X11+AB11+AF11+AJ11+AN11,5)</f>
        <v>185000</v>
      </c>
      <c r="AS11" s="274"/>
      <c r="AT11" s="366">
        <f>ROUND(SUM(AT5:AT10),5)</f>
        <v>0</v>
      </c>
      <c r="AU11" s="274"/>
      <c r="AV11" s="366"/>
      <c r="AW11" s="274"/>
      <c r="AX11" s="366">
        <f>ROUND(SUM(AX5:AX10),5)</f>
        <v>0</v>
      </c>
      <c r="AY11" s="274"/>
      <c r="AZ11" s="366"/>
      <c r="BA11" s="274"/>
      <c r="BB11" s="366">
        <f>ROUND(SUM(BB5:BB10),5)</f>
        <v>4750</v>
      </c>
      <c r="BC11" s="274"/>
      <c r="BD11" s="366">
        <f>ROUND(SUM(BD5:BD10),5)</f>
        <v>80000</v>
      </c>
      <c r="BE11" s="274"/>
      <c r="BF11" s="366">
        <f>ROUND(SUM(BF5:BF10),5)</f>
        <v>0</v>
      </c>
      <c r="BG11" s="274"/>
      <c r="BH11" s="366">
        <f>ROUND(SUM(BH5:BH10),5)</f>
        <v>0</v>
      </c>
      <c r="BI11" s="274"/>
      <c r="BJ11" s="366">
        <f t="shared" si="2"/>
        <v>4750</v>
      </c>
      <c r="BK11" s="274"/>
      <c r="BL11" s="366">
        <f>ROUND(AV11+AZ11+BD11+BH11,5)</f>
        <v>80000</v>
      </c>
      <c r="BM11" s="274"/>
      <c r="BN11" s="366">
        <f>ROUND(SUM(BN5:BN10),5)</f>
        <v>0</v>
      </c>
      <c r="BO11" s="274"/>
      <c r="BP11" s="366"/>
      <c r="BQ11" s="274"/>
      <c r="BR11" s="366">
        <f>ROUND(SUM(BR5:BR10),5)</f>
        <v>27620.35</v>
      </c>
      <c r="BS11" s="274"/>
      <c r="BT11" s="366">
        <f>ROUND(SUM(BT5:BT10),5)</f>
        <v>35000</v>
      </c>
      <c r="BU11" s="274"/>
      <c r="BV11" s="366">
        <f t="shared" si="3"/>
        <v>32370.35</v>
      </c>
      <c r="BW11" s="274"/>
      <c r="BX11" s="366">
        <f>ROUND(BL11+BP11+BT11,5)</f>
        <v>115000</v>
      </c>
      <c r="BY11" s="274"/>
      <c r="BZ11" s="366">
        <f>ROUND(SUM(BZ5:BZ10),5)</f>
        <v>20000</v>
      </c>
      <c r="CA11" s="274"/>
      <c r="CB11" s="274"/>
      <c r="CC11" s="274"/>
      <c r="CD11" s="366">
        <f>ROUND(SUM(CD5:CD10),5)</f>
        <v>0</v>
      </c>
      <c r="CE11" s="274"/>
      <c r="CF11" s="366"/>
      <c r="CG11" s="274"/>
      <c r="CH11" s="366">
        <f>ROUND(SUM(CH5:CH10),5)</f>
        <v>7018</v>
      </c>
      <c r="CI11" s="274"/>
      <c r="CJ11" s="366">
        <f>ROUND(SUM(CJ5:CJ10),5)</f>
        <v>51000</v>
      </c>
      <c r="CK11" s="274"/>
      <c r="CL11" s="366">
        <f t="shared" si="4"/>
        <v>7018</v>
      </c>
      <c r="CM11" s="274"/>
      <c r="CN11" s="366">
        <f>ROUND(CF11+CJ11,5)</f>
        <v>51000</v>
      </c>
      <c r="CO11" s="274"/>
      <c r="CP11" s="366">
        <f>ROUND(SUM(CP5:CP10),5)</f>
        <v>60000</v>
      </c>
      <c r="CQ11" s="274"/>
      <c r="CR11" s="274"/>
      <c r="CS11" s="274"/>
      <c r="CT11" s="366">
        <f t="shared" si="5"/>
        <v>119388.35</v>
      </c>
      <c r="CU11" s="274"/>
      <c r="CV11" s="366">
        <f>ROUND(AR11+BX11+CB11+CN11+CR11,5)</f>
        <v>351000</v>
      </c>
      <c r="CW11" s="274"/>
      <c r="CX11" s="366">
        <f>ROUND(SUM(CX5:CX10),5)</f>
        <v>0</v>
      </c>
      <c r="CY11" s="274"/>
      <c r="CZ11" s="274"/>
      <c r="DA11" s="274"/>
      <c r="DB11" s="366">
        <f t="shared" si="6"/>
        <v>166849.24</v>
      </c>
      <c r="DC11" s="274"/>
      <c r="DD11" s="366">
        <f t="shared" si="7"/>
        <v>515050</v>
      </c>
      <c r="DF11" s="377">
        <f t="shared" si="8"/>
        <v>199050</v>
      </c>
      <c r="DG11" s="390">
        <f t="shared" si="9"/>
        <v>316000</v>
      </c>
      <c r="DH11" s="376">
        <f t="shared" si="10"/>
        <v>515050</v>
      </c>
    </row>
    <row r="12" spans="1:112" x14ac:dyDescent="0.25">
      <c r="A12" s="369"/>
      <c r="B12" s="369"/>
      <c r="C12" s="369"/>
      <c r="D12" s="369" t="s">
        <v>137</v>
      </c>
      <c r="E12" s="369"/>
      <c r="F12" s="366"/>
      <c r="G12" s="274"/>
      <c r="H12" s="366"/>
      <c r="I12" s="274"/>
      <c r="J12" s="366"/>
      <c r="K12" s="274"/>
      <c r="L12" s="366"/>
      <c r="M12" s="274"/>
      <c r="N12" s="366"/>
      <c r="O12" s="274"/>
      <c r="P12" s="366"/>
      <c r="Q12" s="274"/>
      <c r="R12" s="366"/>
      <c r="S12" s="274"/>
      <c r="T12" s="366"/>
      <c r="U12" s="274"/>
      <c r="V12" s="366"/>
      <c r="W12" s="274"/>
      <c r="X12" s="366"/>
      <c r="Y12" s="274"/>
      <c r="Z12" s="366"/>
      <c r="AA12" s="274"/>
      <c r="AB12" s="366"/>
      <c r="AC12" s="274"/>
      <c r="AD12" s="366"/>
      <c r="AE12" s="274"/>
      <c r="AF12" s="366"/>
      <c r="AG12" s="274"/>
      <c r="AH12" s="366"/>
      <c r="AI12" s="274"/>
      <c r="AJ12" s="366"/>
      <c r="AK12" s="274"/>
      <c r="AL12" s="366"/>
      <c r="AM12" s="274"/>
      <c r="AN12" s="366"/>
      <c r="AO12" s="274"/>
      <c r="AP12" s="366"/>
      <c r="AQ12" s="274"/>
      <c r="AR12" s="366"/>
      <c r="AS12" s="274"/>
      <c r="AT12" s="366"/>
      <c r="AU12" s="274"/>
      <c r="AV12" s="366"/>
      <c r="AW12" s="274"/>
      <c r="AX12" s="366"/>
      <c r="AY12" s="274"/>
      <c r="AZ12" s="366"/>
      <c r="BA12" s="274"/>
      <c r="BB12" s="366"/>
      <c r="BC12" s="274"/>
      <c r="BD12" s="366"/>
      <c r="BE12" s="274"/>
      <c r="BF12" s="366"/>
      <c r="BG12" s="274"/>
      <c r="BH12" s="366"/>
      <c r="BI12" s="274"/>
      <c r="BJ12" s="366"/>
      <c r="BK12" s="274"/>
      <c r="BL12" s="366"/>
      <c r="BM12" s="274"/>
      <c r="BN12" s="366"/>
      <c r="BO12" s="274"/>
      <c r="BP12" s="366"/>
      <c r="BQ12" s="274"/>
      <c r="BR12" s="366"/>
      <c r="BS12" s="274"/>
      <c r="BT12" s="366"/>
      <c r="BU12" s="274"/>
      <c r="BV12" s="366"/>
      <c r="BW12" s="274"/>
      <c r="BX12" s="366"/>
      <c r="BY12" s="274"/>
      <c r="BZ12" s="366"/>
      <c r="CA12" s="274"/>
      <c r="CB12" s="274"/>
      <c r="CC12" s="274"/>
      <c r="CD12" s="366"/>
      <c r="CE12" s="274"/>
      <c r="CF12" s="366"/>
      <c r="CG12" s="274"/>
      <c r="CH12" s="366"/>
      <c r="CI12" s="274"/>
      <c r="CJ12" s="366"/>
      <c r="CK12" s="274"/>
      <c r="CL12" s="366"/>
      <c r="CM12" s="274"/>
      <c r="CN12" s="366"/>
      <c r="CO12" s="274"/>
      <c r="CP12" s="366"/>
      <c r="CQ12" s="274"/>
      <c r="CR12" s="274"/>
      <c r="CS12" s="274"/>
      <c r="CT12" s="366"/>
      <c r="CU12" s="274"/>
      <c r="CV12" s="366"/>
      <c r="CW12" s="274"/>
      <c r="CX12" s="366"/>
      <c r="CY12" s="274"/>
      <c r="CZ12" s="274"/>
      <c r="DA12" s="274"/>
      <c r="DB12" s="366"/>
      <c r="DC12" s="274"/>
      <c r="DD12" s="366"/>
      <c r="DF12" s="377">
        <f t="shared" si="8"/>
        <v>0</v>
      </c>
      <c r="DG12" s="390">
        <f t="shared" si="9"/>
        <v>0</v>
      </c>
      <c r="DH12" s="376">
        <f t="shared" si="10"/>
        <v>0</v>
      </c>
    </row>
    <row r="13" spans="1:112" ht="15.75" thickBot="1" x14ac:dyDescent="0.3">
      <c r="A13" s="369"/>
      <c r="B13" s="369"/>
      <c r="C13" s="369"/>
      <c r="D13" s="369"/>
      <c r="E13" s="369" t="s">
        <v>138</v>
      </c>
      <c r="F13" s="365">
        <v>0</v>
      </c>
      <c r="G13" s="274"/>
      <c r="H13" s="366"/>
      <c r="I13" s="274"/>
      <c r="J13" s="365">
        <v>0</v>
      </c>
      <c r="K13" s="274"/>
      <c r="L13" s="366"/>
      <c r="M13" s="274"/>
      <c r="N13" s="365">
        <f>ROUND(F13+J13,5)</f>
        <v>0</v>
      </c>
      <c r="O13" s="274"/>
      <c r="P13" s="366"/>
      <c r="Q13" s="274"/>
      <c r="R13" s="365">
        <v>0</v>
      </c>
      <c r="S13" s="274"/>
      <c r="T13" s="365">
        <v>0</v>
      </c>
      <c r="U13" s="274"/>
      <c r="V13" s="365">
        <v>0</v>
      </c>
      <c r="W13" s="274"/>
      <c r="X13" s="366"/>
      <c r="Y13" s="274"/>
      <c r="Z13" s="365">
        <v>0</v>
      </c>
      <c r="AA13" s="274"/>
      <c r="AB13" s="366"/>
      <c r="AC13" s="274"/>
      <c r="AD13" s="365">
        <v>0</v>
      </c>
      <c r="AE13" s="274"/>
      <c r="AF13" s="366"/>
      <c r="AG13" s="274"/>
      <c r="AH13" s="365">
        <v>0</v>
      </c>
      <c r="AI13" s="274"/>
      <c r="AJ13" s="366"/>
      <c r="AK13" s="274"/>
      <c r="AL13" s="365">
        <v>0</v>
      </c>
      <c r="AM13" s="274"/>
      <c r="AN13" s="366"/>
      <c r="AO13" s="274"/>
      <c r="AP13" s="365">
        <f>ROUND(V13+Z13+AD13+AH13+AL13,5)</f>
        <v>0</v>
      </c>
      <c r="AQ13" s="274"/>
      <c r="AR13" s="366"/>
      <c r="AS13" s="274"/>
      <c r="AT13" s="365">
        <v>0</v>
      </c>
      <c r="AU13" s="274"/>
      <c r="AV13" s="366"/>
      <c r="AW13" s="274"/>
      <c r="AX13" s="365">
        <v>0</v>
      </c>
      <c r="AY13" s="274"/>
      <c r="AZ13" s="366"/>
      <c r="BA13" s="274"/>
      <c r="BB13" s="365">
        <v>0</v>
      </c>
      <c r="BC13" s="274"/>
      <c r="BD13" s="366"/>
      <c r="BE13" s="274"/>
      <c r="BF13" s="365">
        <v>0</v>
      </c>
      <c r="BG13" s="274"/>
      <c r="BH13" s="366"/>
      <c r="BI13" s="274"/>
      <c r="BJ13" s="365">
        <f>ROUND(AT13+AX13+BB13+BF13,5)</f>
        <v>0</v>
      </c>
      <c r="BK13" s="274"/>
      <c r="BL13" s="366"/>
      <c r="BM13" s="274"/>
      <c r="BN13" s="365">
        <v>0</v>
      </c>
      <c r="BO13" s="274"/>
      <c r="BP13" s="366"/>
      <c r="BQ13" s="274"/>
      <c r="BR13" s="365">
        <v>0</v>
      </c>
      <c r="BS13" s="274"/>
      <c r="BT13" s="365">
        <v>0</v>
      </c>
      <c r="BU13" s="274"/>
      <c r="BV13" s="365">
        <f>ROUND(BJ13+BN13+BR13,5)</f>
        <v>0</v>
      </c>
      <c r="BW13" s="274"/>
      <c r="BX13" s="365">
        <f>ROUND(BL13+BP13+BT13,5)</f>
        <v>0</v>
      </c>
      <c r="BY13" s="274"/>
      <c r="BZ13" s="365">
        <v>0</v>
      </c>
      <c r="CA13" s="274"/>
      <c r="CB13" s="274"/>
      <c r="CC13" s="274"/>
      <c r="CD13" s="365">
        <v>0</v>
      </c>
      <c r="CE13" s="274"/>
      <c r="CF13" s="366"/>
      <c r="CG13" s="274"/>
      <c r="CH13" s="365">
        <v>0</v>
      </c>
      <c r="CI13" s="274"/>
      <c r="CJ13" s="366"/>
      <c r="CK13" s="274"/>
      <c r="CL13" s="365">
        <f>ROUND(CD13+CH13,5)</f>
        <v>0</v>
      </c>
      <c r="CM13" s="274"/>
      <c r="CN13" s="366"/>
      <c r="CO13" s="274"/>
      <c r="CP13" s="365">
        <v>0</v>
      </c>
      <c r="CQ13" s="274"/>
      <c r="CR13" s="274"/>
      <c r="CS13" s="274"/>
      <c r="CT13" s="365">
        <f>ROUND(AP13+BV13+BZ13+CL13+CP13,5)</f>
        <v>0</v>
      </c>
      <c r="CU13" s="274"/>
      <c r="CV13" s="365">
        <f>ROUND(AR13+BX13+CB13+CN13+CR13,5)</f>
        <v>0</v>
      </c>
      <c r="CW13" s="274"/>
      <c r="CX13" s="365">
        <v>0</v>
      </c>
      <c r="CY13" s="274"/>
      <c r="CZ13" s="274"/>
      <c r="DA13" s="274"/>
      <c r="DB13" s="365">
        <f>ROUND(N13+R13+CT13+CX13,5)</f>
        <v>0</v>
      </c>
      <c r="DC13" s="274"/>
      <c r="DD13" s="365">
        <f>ROUND(P13+T13+CV13+CZ13,5)</f>
        <v>0</v>
      </c>
      <c r="DF13" s="377">
        <f t="shared" si="8"/>
        <v>0</v>
      </c>
      <c r="DG13" s="390">
        <f t="shared" si="9"/>
        <v>0</v>
      </c>
      <c r="DH13" s="376">
        <f t="shared" si="10"/>
        <v>0</v>
      </c>
    </row>
    <row r="14" spans="1:112" ht="15.75" thickBot="1" x14ac:dyDescent="0.3">
      <c r="A14" s="369"/>
      <c r="B14" s="369"/>
      <c r="C14" s="369"/>
      <c r="D14" s="369" t="s">
        <v>139</v>
      </c>
      <c r="E14" s="369"/>
      <c r="F14" s="276">
        <f>ROUND(SUM(F12:F13),5)</f>
        <v>0</v>
      </c>
      <c r="G14" s="274"/>
      <c r="H14" s="275"/>
      <c r="I14" s="274"/>
      <c r="J14" s="276">
        <f>ROUND(SUM(J12:J13),5)</f>
        <v>0</v>
      </c>
      <c r="K14" s="274"/>
      <c r="L14" s="275"/>
      <c r="M14" s="274"/>
      <c r="N14" s="276">
        <f>ROUND(F14+J14,5)</f>
        <v>0</v>
      </c>
      <c r="O14" s="274"/>
      <c r="P14" s="275"/>
      <c r="Q14" s="274"/>
      <c r="R14" s="276">
        <f>ROUND(SUM(R12:R13),5)</f>
        <v>0</v>
      </c>
      <c r="S14" s="274"/>
      <c r="T14" s="276">
        <f>ROUND(SUM(T12:T13),5)</f>
        <v>0</v>
      </c>
      <c r="U14" s="274"/>
      <c r="V14" s="276">
        <f>ROUND(SUM(V12:V13),5)</f>
        <v>0</v>
      </c>
      <c r="W14" s="274"/>
      <c r="X14" s="366"/>
      <c r="Y14" s="274"/>
      <c r="Z14" s="276">
        <f>ROUND(SUM(Z12:Z13),5)</f>
        <v>0</v>
      </c>
      <c r="AA14" s="274"/>
      <c r="AB14" s="275"/>
      <c r="AC14" s="274"/>
      <c r="AD14" s="276">
        <f>ROUND(SUM(AD12:AD13),5)</f>
        <v>0</v>
      </c>
      <c r="AE14" s="274"/>
      <c r="AF14" s="275"/>
      <c r="AG14" s="274"/>
      <c r="AH14" s="276">
        <f>ROUND(SUM(AH12:AH13),5)</f>
        <v>0</v>
      </c>
      <c r="AI14" s="274"/>
      <c r="AJ14" s="366"/>
      <c r="AK14" s="274"/>
      <c r="AL14" s="276">
        <f>ROUND(SUM(AL12:AL13),5)</f>
        <v>0</v>
      </c>
      <c r="AM14" s="274"/>
      <c r="AN14" s="275"/>
      <c r="AO14" s="274"/>
      <c r="AP14" s="276">
        <f>ROUND(V14+Z14+AD14+AH14+AL14,5)</f>
        <v>0</v>
      </c>
      <c r="AQ14" s="274"/>
      <c r="AR14" s="275"/>
      <c r="AS14" s="274"/>
      <c r="AT14" s="276">
        <f>ROUND(SUM(AT12:AT13),5)</f>
        <v>0</v>
      </c>
      <c r="AU14" s="274"/>
      <c r="AV14" s="366"/>
      <c r="AW14" s="274"/>
      <c r="AX14" s="276">
        <f>ROUND(SUM(AX12:AX13),5)</f>
        <v>0</v>
      </c>
      <c r="AY14" s="274"/>
      <c r="AZ14" s="366"/>
      <c r="BA14" s="274"/>
      <c r="BB14" s="276">
        <f>ROUND(SUM(BB12:BB13),5)</f>
        <v>0</v>
      </c>
      <c r="BC14" s="274"/>
      <c r="BD14" s="275"/>
      <c r="BE14" s="274"/>
      <c r="BF14" s="276">
        <f>ROUND(SUM(BF12:BF13),5)</f>
        <v>0</v>
      </c>
      <c r="BG14" s="274"/>
      <c r="BH14" s="275"/>
      <c r="BI14" s="274"/>
      <c r="BJ14" s="276">
        <f>ROUND(AT14+AX14+BB14+BF14,5)</f>
        <v>0</v>
      </c>
      <c r="BK14" s="274"/>
      <c r="BL14" s="275"/>
      <c r="BM14" s="274"/>
      <c r="BN14" s="276">
        <f>ROUND(SUM(BN12:BN13),5)</f>
        <v>0</v>
      </c>
      <c r="BO14" s="274"/>
      <c r="BP14" s="366"/>
      <c r="BQ14" s="274"/>
      <c r="BR14" s="276">
        <f>ROUND(SUM(BR12:BR13),5)</f>
        <v>0</v>
      </c>
      <c r="BS14" s="274"/>
      <c r="BT14" s="276">
        <f>ROUND(SUM(BT12:BT13),5)</f>
        <v>0</v>
      </c>
      <c r="BU14" s="274"/>
      <c r="BV14" s="276">
        <f>ROUND(BJ14+BN14+BR14,5)</f>
        <v>0</v>
      </c>
      <c r="BW14" s="274"/>
      <c r="BX14" s="276">
        <f>ROUND(BL14+BP14+BT14,5)</f>
        <v>0</v>
      </c>
      <c r="BY14" s="274"/>
      <c r="BZ14" s="276">
        <f>ROUND(SUM(BZ12:BZ13),5)</f>
        <v>0</v>
      </c>
      <c r="CA14" s="274"/>
      <c r="CB14" s="274"/>
      <c r="CC14" s="274"/>
      <c r="CD14" s="276">
        <f>ROUND(SUM(CD12:CD13),5)</f>
        <v>0</v>
      </c>
      <c r="CE14" s="274"/>
      <c r="CF14" s="366"/>
      <c r="CG14" s="274"/>
      <c r="CH14" s="276">
        <f>ROUND(SUM(CH12:CH13),5)</f>
        <v>0</v>
      </c>
      <c r="CI14" s="274"/>
      <c r="CJ14" s="275"/>
      <c r="CK14" s="274"/>
      <c r="CL14" s="276">
        <f>ROUND(CD14+CH14,5)</f>
        <v>0</v>
      </c>
      <c r="CM14" s="274"/>
      <c r="CN14" s="275"/>
      <c r="CO14" s="274"/>
      <c r="CP14" s="276">
        <f>ROUND(SUM(CP12:CP13),5)</f>
        <v>0</v>
      </c>
      <c r="CQ14" s="274"/>
      <c r="CR14" s="274"/>
      <c r="CS14" s="274"/>
      <c r="CT14" s="276">
        <f>ROUND(AP14+BV14+BZ14+CL14+CP14,5)</f>
        <v>0</v>
      </c>
      <c r="CU14" s="274"/>
      <c r="CV14" s="276">
        <f>ROUND(AR14+BX14+CB14+CN14+CR14,5)</f>
        <v>0</v>
      </c>
      <c r="CW14" s="274"/>
      <c r="CX14" s="276">
        <f>ROUND(SUM(CX12:CX13),5)</f>
        <v>0</v>
      </c>
      <c r="CY14" s="274"/>
      <c r="CZ14" s="274"/>
      <c r="DA14" s="274"/>
      <c r="DB14" s="276">
        <f>ROUND(N14+R14+CT14+CX14,5)</f>
        <v>0</v>
      </c>
      <c r="DC14" s="274"/>
      <c r="DD14" s="276">
        <f>ROUND(P14+T14+CV14+CZ14,5)</f>
        <v>0</v>
      </c>
      <c r="DF14" s="377">
        <f t="shared" si="8"/>
        <v>0</v>
      </c>
      <c r="DG14" s="390">
        <f t="shared" si="9"/>
        <v>0</v>
      </c>
      <c r="DH14" s="376">
        <f t="shared" si="10"/>
        <v>0</v>
      </c>
    </row>
    <row r="15" spans="1:112" x14ac:dyDescent="0.25">
      <c r="A15" s="369"/>
      <c r="B15" s="369"/>
      <c r="C15" s="369" t="s">
        <v>140</v>
      </c>
      <c r="D15" s="369"/>
      <c r="E15" s="369"/>
      <c r="F15" s="366">
        <f>ROUND(F11-F14,5)</f>
        <v>0</v>
      </c>
      <c r="G15" s="274"/>
      <c r="H15" s="366">
        <f>ROUND(H11-H14,5)</f>
        <v>550</v>
      </c>
      <c r="I15" s="274"/>
      <c r="J15" s="366">
        <f>ROUND(J11-J14,5)</f>
        <v>5807.01</v>
      </c>
      <c r="K15" s="274"/>
      <c r="L15" s="366">
        <f>ROUND(L11-L14,5)</f>
        <v>13500</v>
      </c>
      <c r="M15" s="274"/>
      <c r="N15" s="366">
        <f>ROUND(F15+J15,5)</f>
        <v>5807.01</v>
      </c>
      <c r="O15" s="274"/>
      <c r="P15" s="366">
        <f>ROUND(H15+L15,5)</f>
        <v>14050</v>
      </c>
      <c r="Q15" s="274"/>
      <c r="R15" s="366">
        <f>ROUND(R11-R14,5)</f>
        <v>41653.879999999997</v>
      </c>
      <c r="S15" s="274"/>
      <c r="T15" s="366">
        <f>ROUND(T11-T14,5)</f>
        <v>150000</v>
      </c>
      <c r="U15" s="274"/>
      <c r="V15" s="366">
        <f>ROUND(V11-V14,5)</f>
        <v>0</v>
      </c>
      <c r="W15" s="274"/>
      <c r="X15" s="366"/>
      <c r="Y15" s="274"/>
      <c r="Z15" s="366">
        <f>ROUND(Z11-Z14,5)</f>
        <v>0</v>
      </c>
      <c r="AA15" s="274"/>
      <c r="AB15" s="366">
        <f>ROUND(AB11-AB14,5)</f>
        <v>0</v>
      </c>
      <c r="AC15" s="274"/>
      <c r="AD15" s="366">
        <f>ROUND(AD11-AD14,5)</f>
        <v>0</v>
      </c>
      <c r="AE15" s="274"/>
      <c r="AF15" s="366">
        <f>ROUND(AF11-AF14,5)</f>
        <v>0</v>
      </c>
      <c r="AG15" s="274"/>
      <c r="AH15" s="366">
        <f>ROUND(AH11-AH14,5)</f>
        <v>0</v>
      </c>
      <c r="AI15" s="274"/>
      <c r="AJ15" s="366"/>
      <c r="AK15" s="274"/>
      <c r="AL15" s="366">
        <f>ROUND(AL11-AL14,5)</f>
        <v>0</v>
      </c>
      <c r="AM15" s="274"/>
      <c r="AN15" s="366">
        <f>ROUND(AN11-AN14,5)</f>
        <v>185000</v>
      </c>
      <c r="AO15" s="274"/>
      <c r="AP15" s="366">
        <f>ROUND(V15+Z15+AD15+AH15+AL15,5)</f>
        <v>0</v>
      </c>
      <c r="AQ15" s="274"/>
      <c r="AR15" s="366">
        <f>ROUND(X15+AB15+AF15+AJ15+AN15,5)</f>
        <v>185000</v>
      </c>
      <c r="AS15" s="274"/>
      <c r="AT15" s="366">
        <f>ROUND(AT11-AT14,5)</f>
        <v>0</v>
      </c>
      <c r="AU15" s="274"/>
      <c r="AV15" s="366"/>
      <c r="AW15" s="274"/>
      <c r="AX15" s="366">
        <f>ROUND(AX11-AX14,5)</f>
        <v>0</v>
      </c>
      <c r="AY15" s="274"/>
      <c r="AZ15" s="366"/>
      <c r="BA15" s="274"/>
      <c r="BB15" s="366">
        <f>ROUND(BB11-BB14,5)</f>
        <v>4750</v>
      </c>
      <c r="BC15" s="274"/>
      <c r="BD15" s="366">
        <f>ROUND(BD11-BD14,5)</f>
        <v>80000</v>
      </c>
      <c r="BE15" s="274"/>
      <c r="BF15" s="366">
        <f>ROUND(BF11-BF14,5)</f>
        <v>0</v>
      </c>
      <c r="BG15" s="274"/>
      <c r="BH15" s="366">
        <f>ROUND(BH11-BH14,5)</f>
        <v>0</v>
      </c>
      <c r="BI15" s="274"/>
      <c r="BJ15" s="366">
        <f>ROUND(AT15+AX15+BB15+BF15,5)</f>
        <v>4750</v>
      </c>
      <c r="BK15" s="274"/>
      <c r="BL15" s="366">
        <f>ROUND(AV15+AZ15+BD15+BH15,5)</f>
        <v>80000</v>
      </c>
      <c r="BM15" s="274"/>
      <c r="BN15" s="366">
        <f>ROUND(BN11-BN14,5)</f>
        <v>0</v>
      </c>
      <c r="BO15" s="274"/>
      <c r="BP15" s="366"/>
      <c r="BQ15" s="274"/>
      <c r="BR15" s="366">
        <f>ROUND(BR11-BR14,5)</f>
        <v>27620.35</v>
      </c>
      <c r="BS15" s="274"/>
      <c r="BT15" s="366">
        <f>ROUND(BT11-BT14,5)</f>
        <v>35000</v>
      </c>
      <c r="BU15" s="274"/>
      <c r="BV15" s="366">
        <f>ROUND(BJ15+BN15+BR15,5)</f>
        <v>32370.35</v>
      </c>
      <c r="BW15" s="274"/>
      <c r="BX15" s="366">
        <f>ROUND(BL15+BP15+BT15,5)</f>
        <v>115000</v>
      </c>
      <c r="BY15" s="274"/>
      <c r="BZ15" s="366">
        <f>ROUND(BZ11-BZ14,5)</f>
        <v>20000</v>
      </c>
      <c r="CA15" s="274"/>
      <c r="CB15" s="274"/>
      <c r="CC15" s="274"/>
      <c r="CD15" s="366">
        <f>ROUND(CD11-CD14,5)</f>
        <v>0</v>
      </c>
      <c r="CE15" s="274"/>
      <c r="CF15" s="366"/>
      <c r="CG15" s="274"/>
      <c r="CH15" s="366">
        <f>ROUND(CH11-CH14,5)</f>
        <v>7018</v>
      </c>
      <c r="CI15" s="274"/>
      <c r="CJ15" s="366">
        <f>ROUND(CJ11-CJ14,5)</f>
        <v>51000</v>
      </c>
      <c r="CK15" s="274"/>
      <c r="CL15" s="366">
        <f>ROUND(CD15+CH15,5)</f>
        <v>7018</v>
      </c>
      <c r="CM15" s="274"/>
      <c r="CN15" s="366">
        <f>ROUND(CF15+CJ15,5)</f>
        <v>51000</v>
      </c>
      <c r="CO15" s="274"/>
      <c r="CP15" s="366">
        <f>ROUND(CP11-CP14,5)</f>
        <v>60000</v>
      </c>
      <c r="CQ15" s="274"/>
      <c r="CR15" s="274"/>
      <c r="CS15" s="274"/>
      <c r="CT15" s="366">
        <f>ROUND(AP15+BV15+BZ15+CL15+CP15,5)</f>
        <v>119388.35</v>
      </c>
      <c r="CU15" s="274"/>
      <c r="CV15" s="366">
        <f>ROUND(AR15+BX15+CB15+CN15+CR15,5)</f>
        <v>351000</v>
      </c>
      <c r="CW15" s="274"/>
      <c r="CX15" s="366">
        <f>ROUND(CX11-CX14,5)</f>
        <v>0</v>
      </c>
      <c r="CY15" s="274"/>
      <c r="CZ15" s="274"/>
      <c r="DA15" s="274"/>
      <c r="DB15" s="366">
        <f>ROUND(N15+R15+CT15+CX15,5)</f>
        <v>166849.24</v>
      </c>
      <c r="DC15" s="274"/>
      <c r="DD15" s="366">
        <f>ROUND(P15+T15+CV15+CZ15,5)</f>
        <v>515050</v>
      </c>
      <c r="DF15" s="377">
        <f t="shared" si="8"/>
        <v>199050</v>
      </c>
      <c r="DG15" s="390">
        <f t="shared" si="9"/>
        <v>316000</v>
      </c>
      <c r="DH15" s="376">
        <f t="shared" si="10"/>
        <v>515050</v>
      </c>
    </row>
    <row r="16" spans="1:112" x14ac:dyDescent="0.25">
      <c r="A16" s="369"/>
      <c r="B16" s="369"/>
      <c r="C16" s="369"/>
      <c r="D16" s="369" t="s">
        <v>141</v>
      </c>
      <c r="E16" s="369"/>
      <c r="F16" s="366"/>
      <c r="G16" s="274"/>
      <c r="H16" s="366"/>
      <c r="I16" s="274"/>
      <c r="J16" s="366"/>
      <c r="K16" s="274"/>
      <c r="L16" s="366"/>
      <c r="M16" s="274"/>
      <c r="N16" s="366"/>
      <c r="O16" s="274"/>
      <c r="P16" s="366"/>
      <c r="Q16" s="274"/>
      <c r="R16" s="366"/>
      <c r="S16" s="274"/>
      <c r="T16" s="366"/>
      <c r="U16" s="274"/>
      <c r="V16" s="366"/>
      <c r="W16" s="274"/>
      <c r="X16" s="366"/>
      <c r="Y16" s="274"/>
      <c r="Z16" s="366"/>
      <c r="AA16" s="274"/>
      <c r="AB16" s="366"/>
      <c r="AC16" s="274"/>
      <c r="AD16" s="366"/>
      <c r="AE16" s="274"/>
      <c r="AF16" s="366"/>
      <c r="AG16" s="274"/>
      <c r="AH16" s="366"/>
      <c r="AI16" s="274"/>
      <c r="AJ16" s="366"/>
      <c r="AK16" s="274"/>
      <c r="AL16" s="366"/>
      <c r="AM16" s="274"/>
      <c r="AN16" s="366"/>
      <c r="AO16" s="274"/>
      <c r="AP16" s="366"/>
      <c r="AQ16" s="274"/>
      <c r="AR16" s="366"/>
      <c r="AS16" s="274"/>
      <c r="AT16" s="366"/>
      <c r="AU16" s="274"/>
      <c r="AV16" s="366"/>
      <c r="AW16" s="274"/>
      <c r="AX16" s="366"/>
      <c r="AY16" s="274"/>
      <c r="AZ16" s="366"/>
      <c r="BA16" s="274"/>
      <c r="BB16" s="366"/>
      <c r="BC16" s="274"/>
      <c r="BD16" s="366"/>
      <c r="BE16" s="274"/>
      <c r="BF16" s="366"/>
      <c r="BG16" s="274"/>
      <c r="BH16" s="366"/>
      <c r="BI16" s="274"/>
      <c r="BJ16" s="366"/>
      <c r="BK16" s="274"/>
      <c r="BL16" s="366"/>
      <c r="BM16" s="274"/>
      <c r="BN16" s="366"/>
      <c r="BO16" s="274"/>
      <c r="BP16" s="366"/>
      <c r="BQ16" s="274"/>
      <c r="BR16" s="366"/>
      <c r="BS16" s="274"/>
      <c r="BT16" s="366"/>
      <c r="BU16" s="274"/>
      <c r="BV16" s="366"/>
      <c r="BW16" s="274"/>
      <c r="BX16" s="366"/>
      <c r="BY16" s="274"/>
      <c r="BZ16" s="366"/>
      <c r="CA16" s="274"/>
      <c r="CB16" s="274"/>
      <c r="CC16" s="274"/>
      <c r="CD16" s="366"/>
      <c r="CE16" s="274"/>
      <c r="CF16" s="366"/>
      <c r="CG16" s="274"/>
      <c r="CH16" s="366"/>
      <c r="CI16" s="274"/>
      <c r="CJ16" s="366"/>
      <c r="CK16" s="274"/>
      <c r="CL16" s="366"/>
      <c r="CM16" s="274"/>
      <c r="CN16" s="366"/>
      <c r="CO16" s="274"/>
      <c r="CP16" s="366"/>
      <c r="CQ16" s="274"/>
      <c r="CR16" s="274"/>
      <c r="CS16" s="274"/>
      <c r="CT16" s="366"/>
      <c r="CU16" s="274"/>
      <c r="CV16" s="366"/>
      <c r="CW16" s="274"/>
      <c r="CX16" s="366"/>
      <c r="CY16" s="274"/>
      <c r="CZ16" s="274"/>
      <c r="DA16" s="274"/>
      <c r="DB16" s="366"/>
      <c r="DC16" s="274"/>
      <c r="DD16" s="366"/>
      <c r="DF16" s="377">
        <f t="shared" si="8"/>
        <v>0</v>
      </c>
      <c r="DG16" s="390">
        <f t="shared" si="9"/>
        <v>0</v>
      </c>
      <c r="DH16" s="376">
        <f t="shared" si="10"/>
        <v>0</v>
      </c>
    </row>
    <row r="17" spans="1:112" x14ac:dyDescent="0.25">
      <c r="A17" s="369"/>
      <c r="B17" s="369"/>
      <c r="C17" s="369"/>
      <c r="D17" s="369"/>
      <c r="E17" s="369" t="s">
        <v>426</v>
      </c>
      <c r="F17" s="366">
        <v>0</v>
      </c>
      <c r="G17" s="274"/>
      <c r="H17" s="366"/>
      <c r="I17" s="274"/>
      <c r="J17" s="366">
        <v>0</v>
      </c>
      <c r="K17" s="274"/>
      <c r="L17" s="366"/>
      <c r="M17" s="274"/>
      <c r="N17" s="366">
        <f t="shared" ref="N17:N36" si="11">ROUND(F17+J17,5)</f>
        <v>0</v>
      </c>
      <c r="O17" s="274"/>
      <c r="P17" s="366"/>
      <c r="Q17" s="274"/>
      <c r="R17" s="366">
        <v>0</v>
      </c>
      <c r="S17" s="274"/>
      <c r="T17" s="366"/>
      <c r="U17" s="274"/>
      <c r="V17" s="366">
        <v>0</v>
      </c>
      <c r="W17" s="274"/>
      <c r="X17" s="366"/>
      <c r="Y17" s="274"/>
      <c r="Z17" s="366">
        <v>0</v>
      </c>
      <c r="AA17" s="274"/>
      <c r="AB17" s="366"/>
      <c r="AC17" s="274"/>
      <c r="AD17" s="366">
        <v>0</v>
      </c>
      <c r="AE17" s="274"/>
      <c r="AF17" s="366"/>
      <c r="AG17" s="274"/>
      <c r="AH17" s="366">
        <v>0</v>
      </c>
      <c r="AI17" s="274"/>
      <c r="AJ17" s="366"/>
      <c r="AK17" s="274"/>
      <c r="AL17" s="366">
        <v>0</v>
      </c>
      <c r="AM17" s="274"/>
      <c r="AN17" s="366"/>
      <c r="AO17" s="274"/>
      <c r="AP17" s="366">
        <f t="shared" ref="AP17:AP36" si="12">ROUND(V17+Z17+AD17+AH17+AL17,5)</f>
        <v>0</v>
      </c>
      <c r="AQ17" s="274"/>
      <c r="AR17" s="366"/>
      <c r="AS17" s="274"/>
      <c r="AT17" s="366">
        <v>0</v>
      </c>
      <c r="AU17" s="274"/>
      <c r="AV17" s="366"/>
      <c r="AW17" s="274"/>
      <c r="AX17" s="366">
        <v>0</v>
      </c>
      <c r="AY17" s="274"/>
      <c r="AZ17" s="366"/>
      <c r="BA17" s="274"/>
      <c r="BB17" s="366">
        <v>0</v>
      </c>
      <c r="BC17" s="274"/>
      <c r="BD17" s="366"/>
      <c r="BE17" s="274"/>
      <c r="BF17" s="366">
        <v>0</v>
      </c>
      <c r="BG17" s="274"/>
      <c r="BH17" s="366"/>
      <c r="BI17" s="274"/>
      <c r="BJ17" s="366">
        <f t="shared" ref="BJ17:BJ36" si="13">ROUND(AT17+AX17+BB17+BF17,5)</f>
        <v>0</v>
      </c>
      <c r="BK17" s="274"/>
      <c r="BL17" s="366"/>
      <c r="BM17" s="274"/>
      <c r="BN17" s="366">
        <v>0</v>
      </c>
      <c r="BO17" s="274"/>
      <c r="BP17" s="366"/>
      <c r="BQ17" s="274"/>
      <c r="BR17" s="366">
        <v>0</v>
      </c>
      <c r="BS17" s="274"/>
      <c r="BT17" s="366"/>
      <c r="BU17" s="274"/>
      <c r="BV17" s="366">
        <f t="shared" ref="BV17:BV36" si="14">ROUND(BJ17+BN17+BR17,5)</f>
        <v>0</v>
      </c>
      <c r="BW17" s="274"/>
      <c r="BX17" s="366"/>
      <c r="BY17" s="274"/>
      <c r="BZ17" s="366">
        <v>0</v>
      </c>
      <c r="CA17" s="274"/>
      <c r="CB17" s="274"/>
      <c r="CC17" s="274"/>
      <c r="CD17" s="366">
        <v>0</v>
      </c>
      <c r="CE17" s="274"/>
      <c r="CF17" s="366"/>
      <c r="CG17" s="274"/>
      <c r="CH17" s="366">
        <v>0</v>
      </c>
      <c r="CI17" s="274"/>
      <c r="CJ17" s="366"/>
      <c r="CK17" s="274"/>
      <c r="CL17" s="366">
        <f t="shared" ref="CL17:CL36" si="15">ROUND(CD17+CH17,5)</f>
        <v>0</v>
      </c>
      <c r="CM17" s="274"/>
      <c r="CN17" s="366"/>
      <c r="CO17" s="274"/>
      <c r="CP17" s="366">
        <v>0</v>
      </c>
      <c r="CQ17" s="274"/>
      <c r="CR17" s="274"/>
      <c r="CS17" s="274"/>
      <c r="CT17" s="366">
        <f t="shared" ref="CT17:CT36" si="16">ROUND(AP17+BV17+BZ17+CL17+CP17,5)</f>
        <v>0</v>
      </c>
      <c r="CU17" s="274"/>
      <c r="CV17" s="366"/>
      <c r="CW17" s="274"/>
      <c r="CX17" s="366">
        <v>133.47</v>
      </c>
      <c r="CY17" s="274"/>
      <c r="CZ17" s="274"/>
      <c r="DA17" s="274"/>
      <c r="DB17" s="366">
        <f t="shared" ref="DB17:DB36" si="17">ROUND(N17+R17+CT17+CX17,5)</f>
        <v>133.47</v>
      </c>
      <c r="DC17" s="274"/>
      <c r="DD17" s="366">
        <f t="shared" ref="DD17:DD36" si="18">ROUND(P17+T17+CV17+CZ17,5)</f>
        <v>0</v>
      </c>
      <c r="DF17" s="377">
        <f t="shared" si="8"/>
        <v>0</v>
      </c>
      <c r="DG17" s="390">
        <f t="shared" si="9"/>
        <v>0</v>
      </c>
      <c r="DH17" s="376">
        <f t="shared" si="10"/>
        <v>0</v>
      </c>
    </row>
    <row r="18" spans="1:112" x14ac:dyDescent="0.25">
      <c r="A18" s="369"/>
      <c r="B18" s="369"/>
      <c r="C18" s="369"/>
      <c r="D18" s="369"/>
      <c r="E18" s="369" t="s">
        <v>142</v>
      </c>
      <c r="F18" s="366">
        <v>3613.27</v>
      </c>
      <c r="G18" s="274"/>
      <c r="H18" s="366">
        <v>13172</v>
      </c>
      <c r="I18" s="274"/>
      <c r="J18" s="366">
        <v>7582.66</v>
      </c>
      <c r="K18" s="274"/>
      <c r="L18" s="366">
        <v>27083</v>
      </c>
      <c r="M18" s="274"/>
      <c r="N18" s="366">
        <f t="shared" si="11"/>
        <v>11195.93</v>
      </c>
      <c r="O18" s="274"/>
      <c r="P18" s="366">
        <f t="shared" ref="P18:P32" si="19">ROUND(H18+L18,5)</f>
        <v>40255</v>
      </c>
      <c r="Q18" s="274"/>
      <c r="R18" s="366">
        <v>18596.36</v>
      </c>
      <c r="S18" s="274"/>
      <c r="T18" s="366">
        <v>67841</v>
      </c>
      <c r="U18" s="274"/>
      <c r="V18" s="366">
        <v>0</v>
      </c>
      <c r="W18" s="274"/>
      <c r="X18" s="366">
        <v>0</v>
      </c>
      <c r="Y18" s="274"/>
      <c r="Z18" s="366">
        <v>0</v>
      </c>
      <c r="AA18" s="274"/>
      <c r="AB18" s="366"/>
      <c r="AC18" s="274"/>
      <c r="AD18" s="366">
        <v>0</v>
      </c>
      <c r="AE18" s="274"/>
      <c r="AF18" s="366"/>
      <c r="AG18" s="274"/>
      <c r="AH18" s="366">
        <v>0</v>
      </c>
      <c r="AI18" s="274"/>
      <c r="AJ18" s="366">
        <v>0</v>
      </c>
      <c r="AK18" s="274"/>
      <c r="AL18" s="366">
        <v>19232.98</v>
      </c>
      <c r="AM18" s="274"/>
      <c r="AN18" s="366">
        <v>69971</v>
      </c>
      <c r="AO18" s="274"/>
      <c r="AP18" s="366">
        <f t="shared" si="12"/>
        <v>19232.98</v>
      </c>
      <c r="AQ18" s="274"/>
      <c r="AR18" s="366">
        <f>ROUND(X18+AB18+AF18+AJ18+AN18,5)</f>
        <v>69971</v>
      </c>
      <c r="AS18" s="274"/>
      <c r="AT18" s="366">
        <v>0</v>
      </c>
      <c r="AU18" s="274"/>
      <c r="AV18" s="366">
        <v>0</v>
      </c>
      <c r="AW18" s="274"/>
      <c r="AX18" s="366">
        <v>0</v>
      </c>
      <c r="AY18" s="274"/>
      <c r="AZ18" s="366">
        <v>0</v>
      </c>
      <c r="BA18" s="274"/>
      <c r="BB18" s="366">
        <v>9793.68</v>
      </c>
      <c r="BC18" s="274"/>
      <c r="BD18" s="366">
        <v>37733</v>
      </c>
      <c r="BE18" s="274"/>
      <c r="BF18" s="366">
        <v>0</v>
      </c>
      <c r="BG18" s="274"/>
      <c r="BH18" s="366">
        <v>0</v>
      </c>
      <c r="BI18" s="274"/>
      <c r="BJ18" s="366">
        <f t="shared" si="13"/>
        <v>9793.68</v>
      </c>
      <c r="BK18" s="274"/>
      <c r="BL18" s="366">
        <f>ROUND(AV18+AZ18+BD18+BH18,5)</f>
        <v>37733</v>
      </c>
      <c r="BM18" s="274"/>
      <c r="BN18" s="366">
        <v>0</v>
      </c>
      <c r="BO18" s="274"/>
      <c r="BP18" s="366">
        <v>0</v>
      </c>
      <c r="BQ18" s="274"/>
      <c r="BR18" s="366">
        <v>2009.46</v>
      </c>
      <c r="BS18" s="274"/>
      <c r="BT18" s="366">
        <v>7220</v>
      </c>
      <c r="BU18" s="274"/>
      <c r="BV18" s="366">
        <f t="shared" si="14"/>
        <v>11803.14</v>
      </c>
      <c r="BW18" s="274"/>
      <c r="BX18" s="366">
        <f>ROUND(BL18+BP18+BT18,5)</f>
        <v>44953</v>
      </c>
      <c r="BY18" s="274"/>
      <c r="BZ18" s="366">
        <v>0</v>
      </c>
      <c r="CA18" s="274"/>
      <c r="CB18" s="274"/>
      <c r="CC18" s="274"/>
      <c r="CD18" s="366">
        <v>0</v>
      </c>
      <c r="CE18" s="274"/>
      <c r="CF18" s="366">
        <v>0</v>
      </c>
      <c r="CG18" s="274"/>
      <c r="CH18" s="366">
        <v>9102.52</v>
      </c>
      <c r="CI18" s="274"/>
      <c r="CJ18" s="366">
        <v>35460</v>
      </c>
      <c r="CK18" s="274"/>
      <c r="CL18" s="366">
        <f t="shared" si="15"/>
        <v>9102.52</v>
      </c>
      <c r="CM18" s="274"/>
      <c r="CN18" s="366">
        <f>ROUND(CF18+CJ18,5)</f>
        <v>35460</v>
      </c>
      <c r="CO18" s="274"/>
      <c r="CP18" s="366">
        <v>0</v>
      </c>
      <c r="CQ18" s="274"/>
      <c r="CR18" s="274"/>
      <c r="CS18" s="274"/>
      <c r="CT18" s="366">
        <f t="shared" si="16"/>
        <v>40138.639999999999</v>
      </c>
      <c r="CU18" s="274"/>
      <c r="CV18" s="366">
        <f>ROUND(AR18+BX18+CB18+CN18+CR18,5)</f>
        <v>150384</v>
      </c>
      <c r="CW18" s="274"/>
      <c r="CX18" s="366">
        <v>0</v>
      </c>
      <c r="CY18" s="274"/>
      <c r="CZ18" s="274"/>
      <c r="DA18" s="274"/>
      <c r="DB18" s="366">
        <f t="shared" si="17"/>
        <v>69930.929999999993</v>
      </c>
      <c r="DC18" s="274"/>
      <c r="DD18" s="366">
        <f t="shared" si="18"/>
        <v>258480</v>
      </c>
      <c r="DF18" s="377">
        <f t="shared" si="8"/>
        <v>115316</v>
      </c>
      <c r="DG18" s="390">
        <f t="shared" si="9"/>
        <v>143164</v>
      </c>
      <c r="DH18" s="376">
        <f t="shared" si="10"/>
        <v>258480</v>
      </c>
    </row>
    <row r="19" spans="1:112" x14ac:dyDescent="0.25">
      <c r="A19" s="369"/>
      <c r="B19" s="369"/>
      <c r="C19" s="369"/>
      <c r="D19" s="369"/>
      <c r="E19" s="369" t="s">
        <v>441</v>
      </c>
      <c r="F19" s="366">
        <v>0</v>
      </c>
      <c r="G19" s="274"/>
      <c r="H19" s="366"/>
      <c r="I19" s="274"/>
      <c r="J19" s="366">
        <v>0</v>
      </c>
      <c r="K19" s="274"/>
      <c r="L19" s="366">
        <v>0</v>
      </c>
      <c r="M19" s="274"/>
      <c r="N19" s="366">
        <f t="shared" si="11"/>
        <v>0</v>
      </c>
      <c r="O19" s="274"/>
      <c r="P19" s="366">
        <f t="shared" si="19"/>
        <v>0</v>
      </c>
      <c r="Q19" s="274"/>
      <c r="R19" s="366">
        <v>0</v>
      </c>
      <c r="S19" s="274"/>
      <c r="T19" s="366"/>
      <c r="U19" s="274"/>
      <c r="V19" s="366">
        <v>0</v>
      </c>
      <c r="W19" s="274"/>
      <c r="X19" s="366"/>
      <c r="Y19" s="274"/>
      <c r="Z19" s="366">
        <v>0</v>
      </c>
      <c r="AA19" s="274"/>
      <c r="AB19" s="366"/>
      <c r="AC19" s="274"/>
      <c r="AD19" s="366">
        <v>0</v>
      </c>
      <c r="AE19" s="274"/>
      <c r="AF19" s="366"/>
      <c r="AG19" s="274"/>
      <c r="AH19" s="366">
        <v>0</v>
      </c>
      <c r="AI19" s="274"/>
      <c r="AJ19" s="366"/>
      <c r="AK19" s="274"/>
      <c r="AL19" s="366">
        <v>0</v>
      </c>
      <c r="AM19" s="274"/>
      <c r="AN19" s="366"/>
      <c r="AO19" s="274"/>
      <c r="AP19" s="366">
        <f t="shared" si="12"/>
        <v>0</v>
      </c>
      <c r="AQ19" s="274"/>
      <c r="AR19" s="366"/>
      <c r="AS19" s="274"/>
      <c r="AT19" s="366">
        <v>0</v>
      </c>
      <c r="AU19" s="274"/>
      <c r="AV19" s="366"/>
      <c r="AW19" s="274"/>
      <c r="AX19" s="366">
        <v>0</v>
      </c>
      <c r="AY19" s="274"/>
      <c r="AZ19" s="366"/>
      <c r="BA19" s="274"/>
      <c r="BB19" s="366">
        <v>0</v>
      </c>
      <c r="BC19" s="274"/>
      <c r="BD19" s="366"/>
      <c r="BE19" s="274"/>
      <c r="BF19" s="366">
        <v>0</v>
      </c>
      <c r="BG19" s="274"/>
      <c r="BH19" s="366"/>
      <c r="BI19" s="274"/>
      <c r="BJ19" s="366">
        <f t="shared" si="13"/>
        <v>0</v>
      </c>
      <c r="BK19" s="274"/>
      <c r="BL19" s="366"/>
      <c r="BM19" s="274"/>
      <c r="BN19" s="366">
        <v>0</v>
      </c>
      <c r="BO19" s="274"/>
      <c r="BP19" s="366"/>
      <c r="BQ19" s="274"/>
      <c r="BR19" s="366">
        <v>0</v>
      </c>
      <c r="BS19" s="274"/>
      <c r="BT19" s="366"/>
      <c r="BU19" s="274"/>
      <c r="BV19" s="366">
        <f t="shared" si="14"/>
        <v>0</v>
      </c>
      <c r="BW19" s="274"/>
      <c r="BX19" s="366"/>
      <c r="BY19" s="274"/>
      <c r="BZ19" s="366">
        <v>0</v>
      </c>
      <c r="CA19" s="274"/>
      <c r="CB19" s="274"/>
      <c r="CC19" s="274"/>
      <c r="CD19" s="366">
        <v>0</v>
      </c>
      <c r="CE19" s="274"/>
      <c r="CF19" s="366"/>
      <c r="CG19" s="274"/>
      <c r="CH19" s="366">
        <v>0</v>
      </c>
      <c r="CI19" s="274"/>
      <c r="CJ19" s="366"/>
      <c r="CK19" s="274"/>
      <c r="CL19" s="366">
        <f t="shared" si="15"/>
        <v>0</v>
      </c>
      <c r="CM19" s="274"/>
      <c r="CN19" s="366"/>
      <c r="CO19" s="274"/>
      <c r="CP19" s="366">
        <v>0</v>
      </c>
      <c r="CQ19" s="274"/>
      <c r="CR19" s="274"/>
      <c r="CS19" s="274"/>
      <c r="CT19" s="366">
        <f t="shared" si="16"/>
        <v>0</v>
      </c>
      <c r="CU19" s="274"/>
      <c r="CV19" s="366"/>
      <c r="CW19" s="274"/>
      <c r="CX19" s="366">
        <v>0</v>
      </c>
      <c r="CY19" s="274"/>
      <c r="CZ19" s="274"/>
      <c r="DA19" s="274"/>
      <c r="DB19" s="366">
        <f t="shared" si="17"/>
        <v>0</v>
      </c>
      <c r="DC19" s="274"/>
      <c r="DD19" s="366">
        <f t="shared" si="18"/>
        <v>0</v>
      </c>
      <c r="DF19" s="377">
        <f t="shared" si="8"/>
        <v>0</v>
      </c>
      <c r="DG19" s="390">
        <f t="shared" si="9"/>
        <v>0</v>
      </c>
      <c r="DH19" s="376">
        <f t="shared" si="10"/>
        <v>0</v>
      </c>
    </row>
    <row r="20" spans="1:112" x14ac:dyDescent="0.25">
      <c r="A20" s="369"/>
      <c r="B20" s="369"/>
      <c r="C20" s="369"/>
      <c r="D20" s="369"/>
      <c r="E20" s="369" t="s">
        <v>347</v>
      </c>
      <c r="F20" s="366">
        <v>0</v>
      </c>
      <c r="G20" s="274"/>
      <c r="H20" s="366"/>
      <c r="I20" s="274"/>
      <c r="J20" s="366">
        <v>0</v>
      </c>
      <c r="K20" s="274"/>
      <c r="L20" s="366">
        <v>1800</v>
      </c>
      <c r="M20" s="274"/>
      <c r="N20" s="366">
        <f t="shared" si="11"/>
        <v>0</v>
      </c>
      <c r="O20" s="274"/>
      <c r="P20" s="366">
        <f t="shared" si="19"/>
        <v>1800</v>
      </c>
      <c r="Q20" s="274"/>
      <c r="R20" s="366">
        <v>0</v>
      </c>
      <c r="S20" s="274"/>
      <c r="T20" s="366"/>
      <c r="U20" s="274"/>
      <c r="V20" s="366">
        <v>0</v>
      </c>
      <c r="W20" s="274"/>
      <c r="X20" s="366"/>
      <c r="Y20" s="274"/>
      <c r="Z20" s="366">
        <v>0</v>
      </c>
      <c r="AA20" s="274"/>
      <c r="AB20" s="366"/>
      <c r="AC20" s="274"/>
      <c r="AD20" s="366">
        <v>0</v>
      </c>
      <c r="AE20" s="274"/>
      <c r="AF20" s="366"/>
      <c r="AG20" s="274"/>
      <c r="AH20" s="366">
        <v>0</v>
      </c>
      <c r="AI20" s="274"/>
      <c r="AJ20" s="366"/>
      <c r="AK20" s="274"/>
      <c r="AL20" s="366">
        <v>0</v>
      </c>
      <c r="AM20" s="274"/>
      <c r="AN20" s="366"/>
      <c r="AO20" s="274"/>
      <c r="AP20" s="366">
        <f t="shared" si="12"/>
        <v>0</v>
      </c>
      <c r="AQ20" s="274"/>
      <c r="AR20" s="366"/>
      <c r="AS20" s="274"/>
      <c r="AT20" s="366">
        <v>0</v>
      </c>
      <c r="AU20" s="274"/>
      <c r="AV20" s="366"/>
      <c r="AW20" s="274"/>
      <c r="AX20" s="366">
        <v>0</v>
      </c>
      <c r="AY20" s="274"/>
      <c r="AZ20" s="366"/>
      <c r="BA20" s="274"/>
      <c r="BB20" s="366">
        <v>0</v>
      </c>
      <c r="BC20" s="274"/>
      <c r="BD20" s="366"/>
      <c r="BE20" s="274"/>
      <c r="BF20" s="366">
        <v>0</v>
      </c>
      <c r="BG20" s="274"/>
      <c r="BH20" s="366"/>
      <c r="BI20" s="274"/>
      <c r="BJ20" s="366">
        <f t="shared" si="13"/>
        <v>0</v>
      </c>
      <c r="BK20" s="274"/>
      <c r="BL20" s="366"/>
      <c r="BM20" s="274"/>
      <c r="BN20" s="366">
        <v>0</v>
      </c>
      <c r="BO20" s="274"/>
      <c r="BP20" s="366"/>
      <c r="BQ20" s="274"/>
      <c r="BR20" s="366">
        <v>0</v>
      </c>
      <c r="BS20" s="274"/>
      <c r="BT20" s="366"/>
      <c r="BU20" s="274"/>
      <c r="BV20" s="366">
        <f t="shared" si="14"/>
        <v>0</v>
      </c>
      <c r="BW20" s="274"/>
      <c r="BX20" s="366"/>
      <c r="BY20" s="274"/>
      <c r="BZ20" s="366">
        <v>0</v>
      </c>
      <c r="CA20" s="274"/>
      <c r="CB20" s="274"/>
      <c r="CC20" s="274"/>
      <c r="CD20" s="366">
        <v>0</v>
      </c>
      <c r="CE20" s="274"/>
      <c r="CF20" s="366"/>
      <c r="CG20" s="274"/>
      <c r="CH20" s="366">
        <v>0</v>
      </c>
      <c r="CI20" s="274"/>
      <c r="CJ20" s="366"/>
      <c r="CK20" s="274"/>
      <c r="CL20" s="366">
        <f t="shared" si="15"/>
        <v>0</v>
      </c>
      <c r="CM20" s="274"/>
      <c r="CN20" s="366"/>
      <c r="CO20" s="274"/>
      <c r="CP20" s="366">
        <v>0</v>
      </c>
      <c r="CQ20" s="274"/>
      <c r="CR20" s="274"/>
      <c r="CS20" s="274"/>
      <c r="CT20" s="366">
        <f t="shared" si="16"/>
        <v>0</v>
      </c>
      <c r="CU20" s="274"/>
      <c r="CV20" s="366"/>
      <c r="CW20" s="274"/>
      <c r="CX20" s="366">
        <v>0</v>
      </c>
      <c r="CY20" s="274"/>
      <c r="CZ20" s="274"/>
      <c r="DA20" s="274"/>
      <c r="DB20" s="366">
        <f t="shared" si="17"/>
        <v>0</v>
      </c>
      <c r="DC20" s="274"/>
      <c r="DD20" s="366">
        <f t="shared" si="18"/>
        <v>1800</v>
      </c>
      <c r="DF20" s="377">
        <f t="shared" si="8"/>
        <v>1800</v>
      </c>
      <c r="DG20" s="390">
        <f t="shared" si="9"/>
        <v>0</v>
      </c>
      <c r="DH20" s="376">
        <f t="shared" si="10"/>
        <v>1800</v>
      </c>
    </row>
    <row r="21" spans="1:112" x14ac:dyDescent="0.25">
      <c r="A21" s="369"/>
      <c r="B21" s="369"/>
      <c r="C21" s="369"/>
      <c r="D21" s="369"/>
      <c r="E21" s="369" t="s">
        <v>348</v>
      </c>
      <c r="F21" s="366">
        <v>0</v>
      </c>
      <c r="G21" s="274"/>
      <c r="H21" s="366"/>
      <c r="I21" s="274"/>
      <c r="J21" s="366">
        <v>299.7</v>
      </c>
      <c r="K21" s="274"/>
      <c r="L21" s="366">
        <v>1500</v>
      </c>
      <c r="M21" s="274"/>
      <c r="N21" s="366">
        <f t="shared" si="11"/>
        <v>299.7</v>
      </c>
      <c r="O21" s="274"/>
      <c r="P21" s="366">
        <f t="shared" si="19"/>
        <v>1500</v>
      </c>
      <c r="Q21" s="274"/>
      <c r="R21" s="366">
        <v>0</v>
      </c>
      <c r="S21" s="274"/>
      <c r="T21" s="366">
        <v>1500</v>
      </c>
      <c r="U21" s="274"/>
      <c r="V21" s="366">
        <v>0</v>
      </c>
      <c r="W21" s="274"/>
      <c r="X21" s="366"/>
      <c r="Y21" s="274"/>
      <c r="Z21" s="366">
        <v>0</v>
      </c>
      <c r="AA21" s="274"/>
      <c r="AB21" s="366"/>
      <c r="AC21" s="274"/>
      <c r="AD21" s="366">
        <v>0</v>
      </c>
      <c r="AE21" s="274"/>
      <c r="AF21" s="366"/>
      <c r="AG21" s="274"/>
      <c r="AH21" s="366">
        <v>0</v>
      </c>
      <c r="AI21" s="274"/>
      <c r="AJ21" s="366"/>
      <c r="AK21" s="274"/>
      <c r="AL21" s="366">
        <v>0</v>
      </c>
      <c r="AM21" s="274"/>
      <c r="AN21" s="366"/>
      <c r="AO21" s="274"/>
      <c r="AP21" s="366">
        <f t="shared" si="12"/>
        <v>0</v>
      </c>
      <c r="AQ21" s="274"/>
      <c r="AR21" s="366"/>
      <c r="AS21" s="274"/>
      <c r="AT21" s="366">
        <v>0</v>
      </c>
      <c r="AU21" s="274"/>
      <c r="AV21" s="366"/>
      <c r="AW21" s="274"/>
      <c r="AX21" s="366">
        <v>0</v>
      </c>
      <c r="AY21" s="274"/>
      <c r="AZ21" s="366"/>
      <c r="BA21" s="274"/>
      <c r="BB21" s="366">
        <v>585.95000000000005</v>
      </c>
      <c r="BC21" s="274"/>
      <c r="BD21" s="366">
        <v>500</v>
      </c>
      <c r="BE21" s="274"/>
      <c r="BF21" s="366">
        <v>0</v>
      </c>
      <c r="BG21" s="274"/>
      <c r="BH21" s="366">
        <v>0</v>
      </c>
      <c r="BI21" s="274"/>
      <c r="BJ21" s="366">
        <f t="shared" si="13"/>
        <v>585.95000000000005</v>
      </c>
      <c r="BK21" s="274"/>
      <c r="BL21" s="366">
        <f t="shared" ref="BL21:BL32" si="20">ROUND(AV21+AZ21+BD21+BH21,5)</f>
        <v>500</v>
      </c>
      <c r="BM21" s="274"/>
      <c r="BN21" s="366">
        <v>0</v>
      </c>
      <c r="BO21" s="274"/>
      <c r="BP21" s="366"/>
      <c r="BQ21" s="274"/>
      <c r="BR21" s="366">
        <v>183</v>
      </c>
      <c r="BS21" s="274"/>
      <c r="BT21" s="366">
        <v>0</v>
      </c>
      <c r="BU21" s="274"/>
      <c r="BV21" s="366">
        <f t="shared" si="14"/>
        <v>768.95</v>
      </c>
      <c r="BW21" s="274"/>
      <c r="BX21" s="366">
        <f t="shared" ref="BX21:BX32" si="21">ROUND(BL21+BP21+BT21,5)</f>
        <v>500</v>
      </c>
      <c r="BY21" s="274"/>
      <c r="BZ21" s="366">
        <v>0</v>
      </c>
      <c r="CA21" s="274"/>
      <c r="CB21" s="274"/>
      <c r="CC21" s="274"/>
      <c r="CD21" s="366">
        <v>0</v>
      </c>
      <c r="CE21" s="274"/>
      <c r="CF21" s="366"/>
      <c r="CG21" s="274"/>
      <c r="CH21" s="366">
        <v>0</v>
      </c>
      <c r="CI21" s="274"/>
      <c r="CJ21" s="366">
        <v>0</v>
      </c>
      <c r="CK21" s="274"/>
      <c r="CL21" s="366">
        <f t="shared" si="15"/>
        <v>0</v>
      </c>
      <c r="CM21" s="274"/>
      <c r="CN21" s="366">
        <f t="shared" ref="CN21:CN36" si="22">ROUND(CF21+CJ21,5)</f>
        <v>0</v>
      </c>
      <c r="CO21" s="274"/>
      <c r="CP21" s="366">
        <v>0</v>
      </c>
      <c r="CQ21" s="274"/>
      <c r="CR21" s="274"/>
      <c r="CS21" s="274"/>
      <c r="CT21" s="366">
        <f t="shared" si="16"/>
        <v>768.95</v>
      </c>
      <c r="CU21" s="274"/>
      <c r="CV21" s="366">
        <f t="shared" ref="CV21:CV36" si="23">ROUND(AR21+BX21+CB21+CN21+CR21,5)</f>
        <v>500</v>
      </c>
      <c r="CW21" s="274"/>
      <c r="CX21" s="366">
        <v>0</v>
      </c>
      <c r="CY21" s="274"/>
      <c r="CZ21" s="274"/>
      <c r="DA21" s="274"/>
      <c r="DB21" s="366">
        <f t="shared" si="17"/>
        <v>1068.6500000000001</v>
      </c>
      <c r="DC21" s="274"/>
      <c r="DD21" s="366">
        <f t="shared" si="18"/>
        <v>3500</v>
      </c>
      <c r="DF21" s="377">
        <f t="shared" si="8"/>
        <v>3000</v>
      </c>
      <c r="DG21" s="390">
        <f t="shared" si="9"/>
        <v>500</v>
      </c>
      <c r="DH21" s="376">
        <f t="shared" si="10"/>
        <v>3500</v>
      </c>
    </row>
    <row r="22" spans="1:112" x14ac:dyDescent="0.25">
      <c r="A22" s="369"/>
      <c r="B22" s="369"/>
      <c r="C22" s="369"/>
      <c r="D22" s="369"/>
      <c r="E22" s="369" t="s">
        <v>349</v>
      </c>
      <c r="F22" s="366">
        <v>0</v>
      </c>
      <c r="G22" s="274"/>
      <c r="H22" s="366">
        <v>0</v>
      </c>
      <c r="I22" s="274"/>
      <c r="J22" s="366">
        <v>0</v>
      </c>
      <c r="K22" s="274"/>
      <c r="L22" s="366">
        <v>0</v>
      </c>
      <c r="M22" s="274"/>
      <c r="N22" s="366">
        <f t="shared" si="11"/>
        <v>0</v>
      </c>
      <c r="O22" s="274"/>
      <c r="P22" s="366">
        <f t="shared" si="19"/>
        <v>0</v>
      </c>
      <c r="Q22" s="274"/>
      <c r="R22" s="366">
        <v>0</v>
      </c>
      <c r="S22" s="274"/>
      <c r="T22" s="366">
        <v>1000</v>
      </c>
      <c r="U22" s="274"/>
      <c r="V22" s="366">
        <v>0</v>
      </c>
      <c r="W22" s="274"/>
      <c r="X22" s="366"/>
      <c r="Y22" s="274"/>
      <c r="Z22" s="366">
        <v>0</v>
      </c>
      <c r="AA22" s="274"/>
      <c r="AB22" s="366"/>
      <c r="AC22" s="274"/>
      <c r="AD22" s="366">
        <v>0</v>
      </c>
      <c r="AE22" s="274"/>
      <c r="AF22" s="366"/>
      <c r="AG22" s="274"/>
      <c r="AH22" s="366">
        <v>0</v>
      </c>
      <c r="AI22" s="274"/>
      <c r="AJ22" s="366">
        <v>0</v>
      </c>
      <c r="AK22" s="274"/>
      <c r="AL22" s="366">
        <v>0</v>
      </c>
      <c r="AM22" s="274"/>
      <c r="AN22" s="366">
        <v>0</v>
      </c>
      <c r="AO22" s="274"/>
      <c r="AP22" s="366">
        <f t="shared" si="12"/>
        <v>0</v>
      </c>
      <c r="AQ22" s="274"/>
      <c r="AR22" s="366">
        <f t="shared" ref="AR22:AR36" si="24">ROUND(X22+AB22+AF22+AJ22+AN22,5)</f>
        <v>0</v>
      </c>
      <c r="AS22" s="274"/>
      <c r="AT22" s="366">
        <v>0</v>
      </c>
      <c r="AU22" s="274"/>
      <c r="AV22" s="366"/>
      <c r="AW22" s="274"/>
      <c r="AX22" s="366">
        <v>0</v>
      </c>
      <c r="AY22" s="274"/>
      <c r="AZ22" s="366">
        <v>0</v>
      </c>
      <c r="BA22" s="274"/>
      <c r="BB22" s="366">
        <v>0</v>
      </c>
      <c r="BC22" s="274"/>
      <c r="BD22" s="366"/>
      <c r="BE22" s="274"/>
      <c r="BF22" s="366">
        <v>0</v>
      </c>
      <c r="BG22" s="274"/>
      <c r="BH22" s="366"/>
      <c r="BI22" s="274"/>
      <c r="BJ22" s="366">
        <f t="shared" si="13"/>
        <v>0</v>
      </c>
      <c r="BK22" s="274"/>
      <c r="BL22" s="366">
        <f t="shared" si="20"/>
        <v>0</v>
      </c>
      <c r="BM22" s="274"/>
      <c r="BN22" s="366">
        <v>0</v>
      </c>
      <c r="BO22" s="274"/>
      <c r="BP22" s="366">
        <v>0</v>
      </c>
      <c r="BQ22" s="274"/>
      <c r="BR22" s="366">
        <v>0</v>
      </c>
      <c r="BS22" s="274"/>
      <c r="BT22" s="366">
        <v>0</v>
      </c>
      <c r="BU22" s="274"/>
      <c r="BV22" s="366">
        <f t="shared" si="14"/>
        <v>0</v>
      </c>
      <c r="BW22" s="274"/>
      <c r="BX22" s="366">
        <f t="shared" si="21"/>
        <v>0</v>
      </c>
      <c r="BY22" s="274"/>
      <c r="BZ22" s="366">
        <v>0</v>
      </c>
      <c r="CA22" s="274"/>
      <c r="CB22" s="274"/>
      <c r="CC22" s="274"/>
      <c r="CD22" s="366">
        <v>0</v>
      </c>
      <c r="CE22" s="274"/>
      <c r="CF22" s="366"/>
      <c r="CG22" s="274"/>
      <c r="CH22" s="366">
        <v>0</v>
      </c>
      <c r="CI22" s="274"/>
      <c r="CJ22" s="366">
        <v>500</v>
      </c>
      <c r="CK22" s="274"/>
      <c r="CL22" s="366">
        <f t="shared" si="15"/>
        <v>0</v>
      </c>
      <c r="CM22" s="274"/>
      <c r="CN22" s="366">
        <f t="shared" si="22"/>
        <v>500</v>
      </c>
      <c r="CO22" s="274"/>
      <c r="CP22" s="366">
        <v>0</v>
      </c>
      <c r="CQ22" s="274"/>
      <c r="CR22" s="274"/>
      <c r="CS22" s="274"/>
      <c r="CT22" s="366">
        <f t="shared" si="16"/>
        <v>0</v>
      </c>
      <c r="CU22" s="274"/>
      <c r="CV22" s="366">
        <f t="shared" si="23"/>
        <v>500</v>
      </c>
      <c r="CW22" s="274"/>
      <c r="CX22" s="366">
        <v>0</v>
      </c>
      <c r="CY22" s="274"/>
      <c r="CZ22" s="274"/>
      <c r="DA22" s="274"/>
      <c r="DB22" s="366">
        <f t="shared" si="17"/>
        <v>0</v>
      </c>
      <c r="DC22" s="274"/>
      <c r="DD22" s="366">
        <f t="shared" si="18"/>
        <v>1500</v>
      </c>
      <c r="DF22" s="586">
        <f t="shared" si="8"/>
        <v>1000</v>
      </c>
      <c r="DG22" s="390">
        <f t="shared" si="9"/>
        <v>500</v>
      </c>
      <c r="DH22" s="376">
        <f t="shared" si="10"/>
        <v>1500</v>
      </c>
    </row>
    <row r="23" spans="1:112" x14ac:dyDescent="0.25">
      <c r="A23" s="369"/>
      <c r="B23" s="369"/>
      <c r="C23" s="369"/>
      <c r="D23" s="369"/>
      <c r="E23" s="369" t="s">
        <v>146</v>
      </c>
      <c r="F23" s="366">
        <v>0</v>
      </c>
      <c r="G23" s="274"/>
      <c r="H23" s="366">
        <v>75</v>
      </c>
      <c r="I23" s="274"/>
      <c r="J23" s="366">
        <v>0</v>
      </c>
      <c r="K23" s="274"/>
      <c r="L23" s="366">
        <v>196</v>
      </c>
      <c r="M23" s="274"/>
      <c r="N23" s="366">
        <f t="shared" si="11"/>
        <v>0</v>
      </c>
      <c r="O23" s="274"/>
      <c r="P23" s="366">
        <f t="shared" si="19"/>
        <v>271</v>
      </c>
      <c r="Q23" s="274"/>
      <c r="R23" s="366">
        <v>0</v>
      </c>
      <c r="S23" s="274"/>
      <c r="T23" s="366">
        <v>408</v>
      </c>
      <c r="U23" s="274"/>
      <c r="V23" s="366">
        <v>0</v>
      </c>
      <c r="W23" s="274"/>
      <c r="X23" s="366"/>
      <c r="Y23" s="274"/>
      <c r="Z23" s="366">
        <v>0</v>
      </c>
      <c r="AA23" s="274"/>
      <c r="AB23" s="366"/>
      <c r="AC23" s="274"/>
      <c r="AD23" s="366">
        <v>0</v>
      </c>
      <c r="AE23" s="274"/>
      <c r="AF23" s="366"/>
      <c r="AG23" s="274"/>
      <c r="AH23" s="366">
        <v>0</v>
      </c>
      <c r="AI23" s="274"/>
      <c r="AJ23" s="366">
        <v>0</v>
      </c>
      <c r="AK23" s="274"/>
      <c r="AL23" s="366">
        <v>0</v>
      </c>
      <c r="AM23" s="274"/>
      <c r="AN23" s="366">
        <v>1362</v>
      </c>
      <c r="AO23" s="274"/>
      <c r="AP23" s="366">
        <f t="shared" si="12"/>
        <v>0</v>
      </c>
      <c r="AQ23" s="274"/>
      <c r="AR23" s="366">
        <f t="shared" si="24"/>
        <v>1362</v>
      </c>
      <c r="AS23" s="274"/>
      <c r="AT23" s="366">
        <v>0</v>
      </c>
      <c r="AU23" s="274"/>
      <c r="AV23" s="366"/>
      <c r="AW23" s="274"/>
      <c r="AX23" s="366">
        <v>0</v>
      </c>
      <c r="AY23" s="274"/>
      <c r="AZ23" s="366">
        <v>0</v>
      </c>
      <c r="BA23" s="274"/>
      <c r="BB23" s="366">
        <v>0</v>
      </c>
      <c r="BC23" s="274"/>
      <c r="BD23" s="366">
        <v>287</v>
      </c>
      <c r="BE23" s="274"/>
      <c r="BF23" s="366">
        <v>0</v>
      </c>
      <c r="BG23" s="274"/>
      <c r="BH23" s="366">
        <v>0</v>
      </c>
      <c r="BI23" s="274"/>
      <c r="BJ23" s="366">
        <f t="shared" si="13"/>
        <v>0</v>
      </c>
      <c r="BK23" s="274"/>
      <c r="BL23" s="366">
        <f t="shared" si="20"/>
        <v>287</v>
      </c>
      <c r="BM23" s="274"/>
      <c r="BN23" s="366">
        <v>0</v>
      </c>
      <c r="BO23" s="274"/>
      <c r="BP23" s="366">
        <v>0</v>
      </c>
      <c r="BQ23" s="274"/>
      <c r="BR23" s="366">
        <v>0</v>
      </c>
      <c r="BS23" s="274"/>
      <c r="BT23" s="366">
        <v>60</v>
      </c>
      <c r="BU23" s="274"/>
      <c r="BV23" s="366">
        <f t="shared" si="14"/>
        <v>0</v>
      </c>
      <c r="BW23" s="274"/>
      <c r="BX23" s="366">
        <f t="shared" si="21"/>
        <v>347</v>
      </c>
      <c r="BY23" s="274"/>
      <c r="BZ23" s="366">
        <v>0</v>
      </c>
      <c r="CA23" s="274"/>
      <c r="CB23" s="274"/>
      <c r="CC23" s="274"/>
      <c r="CD23" s="366">
        <v>0</v>
      </c>
      <c r="CE23" s="274"/>
      <c r="CF23" s="366"/>
      <c r="CG23" s="274"/>
      <c r="CH23" s="366">
        <v>0</v>
      </c>
      <c r="CI23" s="274"/>
      <c r="CJ23" s="366">
        <v>317</v>
      </c>
      <c r="CK23" s="274"/>
      <c r="CL23" s="366">
        <f t="shared" si="15"/>
        <v>0</v>
      </c>
      <c r="CM23" s="274"/>
      <c r="CN23" s="366">
        <f t="shared" si="22"/>
        <v>317</v>
      </c>
      <c r="CO23" s="274"/>
      <c r="CP23" s="366">
        <v>0</v>
      </c>
      <c r="CQ23" s="274"/>
      <c r="CR23" s="274"/>
      <c r="CS23" s="274"/>
      <c r="CT23" s="366">
        <f t="shared" si="16"/>
        <v>0</v>
      </c>
      <c r="CU23" s="274"/>
      <c r="CV23" s="366">
        <f t="shared" si="23"/>
        <v>2026</v>
      </c>
      <c r="CW23" s="274"/>
      <c r="CX23" s="366">
        <v>0</v>
      </c>
      <c r="CY23" s="274"/>
      <c r="CZ23" s="274"/>
      <c r="DA23" s="274"/>
      <c r="DB23" s="366">
        <f t="shared" si="17"/>
        <v>0</v>
      </c>
      <c r="DC23" s="274"/>
      <c r="DD23" s="366">
        <f t="shared" si="18"/>
        <v>2705</v>
      </c>
      <c r="DF23" s="377">
        <f t="shared" si="8"/>
        <v>739</v>
      </c>
      <c r="DG23" s="390">
        <f t="shared" si="9"/>
        <v>1966</v>
      </c>
      <c r="DH23" s="376">
        <f t="shared" si="10"/>
        <v>2705</v>
      </c>
    </row>
    <row r="24" spans="1:112" x14ac:dyDescent="0.25">
      <c r="A24" s="369"/>
      <c r="B24" s="369"/>
      <c r="C24" s="369"/>
      <c r="D24" s="369"/>
      <c r="E24" s="369" t="s">
        <v>147</v>
      </c>
      <c r="F24" s="366">
        <v>37.68</v>
      </c>
      <c r="G24" s="274"/>
      <c r="H24" s="366">
        <v>127</v>
      </c>
      <c r="I24" s="274"/>
      <c r="J24" s="366">
        <v>117.97</v>
      </c>
      <c r="K24" s="274"/>
      <c r="L24" s="366">
        <v>331</v>
      </c>
      <c r="M24" s="274"/>
      <c r="N24" s="366">
        <f t="shared" si="11"/>
        <v>155.65</v>
      </c>
      <c r="O24" s="274"/>
      <c r="P24" s="366">
        <f t="shared" si="19"/>
        <v>458</v>
      </c>
      <c r="Q24" s="274"/>
      <c r="R24" s="366">
        <v>203.49</v>
      </c>
      <c r="S24" s="274"/>
      <c r="T24" s="366">
        <v>808</v>
      </c>
      <c r="U24" s="274"/>
      <c r="V24" s="366">
        <v>0</v>
      </c>
      <c r="W24" s="274"/>
      <c r="X24" s="366"/>
      <c r="Y24" s="274"/>
      <c r="Z24" s="366">
        <v>0</v>
      </c>
      <c r="AA24" s="274"/>
      <c r="AB24" s="366"/>
      <c r="AC24" s="274"/>
      <c r="AD24" s="366">
        <v>0</v>
      </c>
      <c r="AE24" s="274"/>
      <c r="AF24" s="366"/>
      <c r="AG24" s="274"/>
      <c r="AH24" s="366">
        <v>0</v>
      </c>
      <c r="AI24" s="274"/>
      <c r="AJ24" s="366">
        <v>0</v>
      </c>
      <c r="AK24" s="274"/>
      <c r="AL24" s="366">
        <v>180.88</v>
      </c>
      <c r="AM24" s="274"/>
      <c r="AN24" s="366">
        <v>1091</v>
      </c>
      <c r="AO24" s="274"/>
      <c r="AP24" s="366">
        <f t="shared" si="12"/>
        <v>180.88</v>
      </c>
      <c r="AQ24" s="274"/>
      <c r="AR24" s="366">
        <f t="shared" si="24"/>
        <v>1091</v>
      </c>
      <c r="AS24" s="274"/>
      <c r="AT24" s="366">
        <v>0</v>
      </c>
      <c r="AU24" s="274"/>
      <c r="AV24" s="366"/>
      <c r="AW24" s="274"/>
      <c r="AX24" s="366">
        <v>0</v>
      </c>
      <c r="AY24" s="274"/>
      <c r="AZ24" s="366">
        <v>0</v>
      </c>
      <c r="BA24" s="274"/>
      <c r="BB24" s="366">
        <v>143.19999999999999</v>
      </c>
      <c r="BC24" s="274"/>
      <c r="BD24" s="366">
        <v>484</v>
      </c>
      <c r="BE24" s="274"/>
      <c r="BF24" s="366">
        <v>0</v>
      </c>
      <c r="BG24" s="274"/>
      <c r="BH24" s="366">
        <v>0</v>
      </c>
      <c r="BI24" s="274"/>
      <c r="BJ24" s="366">
        <f t="shared" si="13"/>
        <v>143.19999999999999</v>
      </c>
      <c r="BK24" s="274"/>
      <c r="BL24" s="366">
        <f t="shared" si="20"/>
        <v>484</v>
      </c>
      <c r="BM24" s="274"/>
      <c r="BN24" s="366">
        <v>0</v>
      </c>
      <c r="BO24" s="274"/>
      <c r="BP24" s="366">
        <v>0</v>
      </c>
      <c r="BQ24" s="274"/>
      <c r="BR24" s="366">
        <v>30.14</v>
      </c>
      <c r="BS24" s="274"/>
      <c r="BT24" s="366">
        <v>102</v>
      </c>
      <c r="BU24" s="274"/>
      <c r="BV24" s="366">
        <f t="shared" si="14"/>
        <v>173.34</v>
      </c>
      <c r="BW24" s="274"/>
      <c r="BX24" s="366">
        <f t="shared" si="21"/>
        <v>586</v>
      </c>
      <c r="BY24" s="274"/>
      <c r="BZ24" s="366">
        <v>0</v>
      </c>
      <c r="CA24" s="274"/>
      <c r="CB24" s="274"/>
      <c r="CC24" s="274"/>
      <c r="CD24" s="366">
        <v>0</v>
      </c>
      <c r="CE24" s="274"/>
      <c r="CF24" s="366"/>
      <c r="CG24" s="274"/>
      <c r="CH24" s="366">
        <v>158.27000000000001</v>
      </c>
      <c r="CI24" s="274"/>
      <c r="CJ24" s="366">
        <v>1335</v>
      </c>
      <c r="CK24" s="274"/>
      <c r="CL24" s="366">
        <f t="shared" si="15"/>
        <v>158.27000000000001</v>
      </c>
      <c r="CM24" s="274"/>
      <c r="CN24" s="366">
        <f t="shared" si="22"/>
        <v>1335</v>
      </c>
      <c r="CO24" s="274"/>
      <c r="CP24" s="366">
        <v>0</v>
      </c>
      <c r="CQ24" s="274"/>
      <c r="CR24" s="274"/>
      <c r="CS24" s="274"/>
      <c r="CT24" s="366">
        <f t="shared" si="16"/>
        <v>512.49</v>
      </c>
      <c r="CU24" s="274"/>
      <c r="CV24" s="366">
        <f t="shared" si="23"/>
        <v>3012</v>
      </c>
      <c r="CW24" s="274"/>
      <c r="CX24" s="366">
        <v>0</v>
      </c>
      <c r="CY24" s="274"/>
      <c r="CZ24" s="274"/>
      <c r="DA24" s="274"/>
      <c r="DB24" s="366">
        <f t="shared" si="17"/>
        <v>871.63</v>
      </c>
      <c r="DC24" s="274"/>
      <c r="DD24" s="366">
        <f t="shared" si="18"/>
        <v>4278</v>
      </c>
      <c r="DF24" s="377">
        <f t="shared" si="8"/>
        <v>1368</v>
      </c>
      <c r="DG24" s="390">
        <f t="shared" si="9"/>
        <v>2910</v>
      </c>
      <c r="DH24" s="376">
        <f t="shared" si="10"/>
        <v>4278</v>
      </c>
    </row>
    <row r="25" spans="1:112" x14ac:dyDescent="0.25">
      <c r="A25" s="369"/>
      <c r="B25" s="369"/>
      <c r="C25" s="369"/>
      <c r="D25" s="369"/>
      <c r="E25" s="369" t="s">
        <v>148</v>
      </c>
      <c r="F25" s="366">
        <v>5.45</v>
      </c>
      <c r="G25" s="274"/>
      <c r="H25" s="366">
        <v>17</v>
      </c>
      <c r="I25" s="274"/>
      <c r="J25" s="366">
        <v>14.17</v>
      </c>
      <c r="K25" s="274"/>
      <c r="L25" s="366">
        <v>44</v>
      </c>
      <c r="M25" s="274"/>
      <c r="N25" s="366">
        <f t="shared" si="11"/>
        <v>19.62</v>
      </c>
      <c r="O25" s="274"/>
      <c r="P25" s="366">
        <f t="shared" si="19"/>
        <v>61</v>
      </c>
      <c r="Q25" s="274"/>
      <c r="R25" s="366">
        <v>111.93</v>
      </c>
      <c r="S25" s="274"/>
      <c r="T25" s="366">
        <v>6032</v>
      </c>
      <c r="U25" s="274"/>
      <c r="V25" s="366">
        <v>0</v>
      </c>
      <c r="W25" s="274"/>
      <c r="X25" s="366"/>
      <c r="Y25" s="274"/>
      <c r="Z25" s="366">
        <v>0</v>
      </c>
      <c r="AA25" s="274"/>
      <c r="AB25" s="366"/>
      <c r="AC25" s="274"/>
      <c r="AD25" s="366">
        <v>0</v>
      </c>
      <c r="AE25" s="274"/>
      <c r="AF25" s="366"/>
      <c r="AG25" s="274"/>
      <c r="AH25" s="366">
        <v>0</v>
      </c>
      <c r="AI25" s="274"/>
      <c r="AJ25" s="366">
        <v>0</v>
      </c>
      <c r="AK25" s="274"/>
      <c r="AL25" s="366">
        <v>26.17</v>
      </c>
      <c r="AM25" s="274"/>
      <c r="AN25" s="366">
        <v>82</v>
      </c>
      <c r="AO25" s="274"/>
      <c r="AP25" s="366">
        <f t="shared" si="12"/>
        <v>26.17</v>
      </c>
      <c r="AQ25" s="274"/>
      <c r="AR25" s="366">
        <f t="shared" si="24"/>
        <v>82</v>
      </c>
      <c r="AS25" s="274"/>
      <c r="AT25" s="366">
        <v>0</v>
      </c>
      <c r="AU25" s="274"/>
      <c r="AV25" s="366"/>
      <c r="AW25" s="274"/>
      <c r="AX25" s="366">
        <v>0</v>
      </c>
      <c r="AY25" s="274"/>
      <c r="AZ25" s="366">
        <v>0</v>
      </c>
      <c r="BA25" s="274"/>
      <c r="BB25" s="366">
        <v>20.7</v>
      </c>
      <c r="BC25" s="274"/>
      <c r="BD25" s="366">
        <v>10365</v>
      </c>
      <c r="BE25" s="274"/>
      <c r="BF25" s="366">
        <v>0</v>
      </c>
      <c r="BG25" s="274"/>
      <c r="BH25" s="366">
        <v>0</v>
      </c>
      <c r="BI25" s="274"/>
      <c r="BJ25" s="366">
        <f t="shared" si="13"/>
        <v>20.7</v>
      </c>
      <c r="BK25" s="274"/>
      <c r="BL25" s="366">
        <f t="shared" si="20"/>
        <v>10365</v>
      </c>
      <c r="BM25" s="274"/>
      <c r="BN25" s="366">
        <v>0</v>
      </c>
      <c r="BO25" s="274"/>
      <c r="BP25" s="366">
        <v>0</v>
      </c>
      <c r="BQ25" s="274"/>
      <c r="BR25" s="366">
        <v>254.91</v>
      </c>
      <c r="BS25" s="274"/>
      <c r="BT25" s="366">
        <v>14</v>
      </c>
      <c r="BU25" s="274"/>
      <c r="BV25" s="366">
        <f t="shared" si="14"/>
        <v>275.61</v>
      </c>
      <c r="BW25" s="274"/>
      <c r="BX25" s="366">
        <f t="shared" si="21"/>
        <v>10379</v>
      </c>
      <c r="BY25" s="274"/>
      <c r="BZ25" s="366">
        <v>0</v>
      </c>
      <c r="CA25" s="274"/>
      <c r="CB25" s="274"/>
      <c r="CC25" s="274"/>
      <c r="CD25" s="366">
        <v>0</v>
      </c>
      <c r="CE25" s="274"/>
      <c r="CF25" s="366"/>
      <c r="CG25" s="274"/>
      <c r="CH25" s="366">
        <v>22.89</v>
      </c>
      <c r="CI25" s="274"/>
      <c r="CJ25" s="366">
        <v>71</v>
      </c>
      <c r="CK25" s="274"/>
      <c r="CL25" s="366">
        <f t="shared" si="15"/>
        <v>22.89</v>
      </c>
      <c r="CM25" s="274"/>
      <c r="CN25" s="366">
        <f t="shared" si="22"/>
        <v>71</v>
      </c>
      <c r="CO25" s="274"/>
      <c r="CP25" s="366">
        <v>0</v>
      </c>
      <c r="CQ25" s="274"/>
      <c r="CR25" s="274"/>
      <c r="CS25" s="274"/>
      <c r="CT25" s="366">
        <f t="shared" si="16"/>
        <v>324.67</v>
      </c>
      <c r="CU25" s="274"/>
      <c r="CV25" s="366">
        <f t="shared" si="23"/>
        <v>10532</v>
      </c>
      <c r="CW25" s="274"/>
      <c r="CX25" s="366">
        <v>0</v>
      </c>
      <c r="CY25" s="274"/>
      <c r="CZ25" s="274"/>
      <c r="DA25" s="274"/>
      <c r="DB25" s="366">
        <f t="shared" si="17"/>
        <v>456.22</v>
      </c>
      <c r="DC25" s="274"/>
      <c r="DD25" s="366">
        <f t="shared" si="18"/>
        <v>16625</v>
      </c>
      <c r="DF25" s="377">
        <f t="shared" si="8"/>
        <v>6107</v>
      </c>
      <c r="DG25" s="390">
        <f t="shared" si="9"/>
        <v>10518</v>
      </c>
      <c r="DH25" s="376">
        <f t="shared" si="10"/>
        <v>16625</v>
      </c>
    </row>
    <row r="26" spans="1:112" x14ac:dyDescent="0.25">
      <c r="A26" s="369"/>
      <c r="B26" s="369"/>
      <c r="C26" s="369"/>
      <c r="D26" s="369"/>
      <c r="E26" s="369" t="s">
        <v>149</v>
      </c>
      <c r="F26" s="366">
        <v>164.28</v>
      </c>
      <c r="G26" s="274"/>
      <c r="H26" s="366">
        <v>669</v>
      </c>
      <c r="I26" s="274"/>
      <c r="J26" s="366">
        <v>635.23</v>
      </c>
      <c r="K26" s="274"/>
      <c r="L26" s="366">
        <v>2570</v>
      </c>
      <c r="M26" s="274"/>
      <c r="N26" s="366">
        <f t="shared" si="11"/>
        <v>799.51</v>
      </c>
      <c r="O26" s="274"/>
      <c r="P26" s="366">
        <f t="shared" si="19"/>
        <v>3239</v>
      </c>
      <c r="Q26" s="274"/>
      <c r="R26" s="366">
        <v>760.6</v>
      </c>
      <c r="S26" s="274"/>
      <c r="T26" s="366">
        <v>3053</v>
      </c>
      <c r="U26" s="274"/>
      <c r="V26" s="366">
        <v>0</v>
      </c>
      <c r="W26" s="274"/>
      <c r="X26" s="366"/>
      <c r="Y26" s="274"/>
      <c r="Z26" s="366">
        <v>0</v>
      </c>
      <c r="AA26" s="274"/>
      <c r="AB26" s="366"/>
      <c r="AC26" s="274"/>
      <c r="AD26" s="366">
        <v>0</v>
      </c>
      <c r="AE26" s="274"/>
      <c r="AF26" s="366"/>
      <c r="AG26" s="274"/>
      <c r="AH26" s="366">
        <v>0</v>
      </c>
      <c r="AI26" s="274"/>
      <c r="AJ26" s="366">
        <v>0</v>
      </c>
      <c r="AK26" s="274"/>
      <c r="AL26" s="366">
        <v>660.48</v>
      </c>
      <c r="AM26" s="274"/>
      <c r="AN26" s="366">
        <v>2647</v>
      </c>
      <c r="AO26" s="274"/>
      <c r="AP26" s="366">
        <f t="shared" si="12"/>
        <v>660.48</v>
      </c>
      <c r="AQ26" s="274"/>
      <c r="AR26" s="366">
        <f t="shared" si="24"/>
        <v>2647</v>
      </c>
      <c r="AS26" s="274"/>
      <c r="AT26" s="366">
        <v>0</v>
      </c>
      <c r="AU26" s="274"/>
      <c r="AV26" s="366"/>
      <c r="AW26" s="274"/>
      <c r="AX26" s="366">
        <v>0</v>
      </c>
      <c r="AY26" s="274"/>
      <c r="AZ26" s="366">
        <v>0</v>
      </c>
      <c r="BA26" s="274"/>
      <c r="BB26" s="366">
        <v>474.33</v>
      </c>
      <c r="BC26" s="274"/>
      <c r="BD26" s="366">
        <v>1901</v>
      </c>
      <c r="BE26" s="274"/>
      <c r="BF26" s="366">
        <v>0</v>
      </c>
      <c r="BG26" s="274"/>
      <c r="BH26" s="366">
        <v>0</v>
      </c>
      <c r="BI26" s="274"/>
      <c r="BJ26" s="366">
        <f t="shared" si="13"/>
        <v>474.33</v>
      </c>
      <c r="BK26" s="274"/>
      <c r="BL26" s="366">
        <f t="shared" si="20"/>
        <v>1901</v>
      </c>
      <c r="BM26" s="274"/>
      <c r="BN26" s="366">
        <v>0</v>
      </c>
      <c r="BO26" s="274"/>
      <c r="BP26" s="366">
        <v>0</v>
      </c>
      <c r="BQ26" s="274"/>
      <c r="BR26" s="366">
        <v>107.9</v>
      </c>
      <c r="BS26" s="274"/>
      <c r="BT26" s="366">
        <v>432</v>
      </c>
      <c r="BU26" s="274"/>
      <c r="BV26" s="366">
        <f t="shared" si="14"/>
        <v>582.23</v>
      </c>
      <c r="BW26" s="274"/>
      <c r="BX26" s="366">
        <f t="shared" si="21"/>
        <v>2333</v>
      </c>
      <c r="BY26" s="274"/>
      <c r="BZ26" s="366">
        <v>0</v>
      </c>
      <c r="CA26" s="274"/>
      <c r="CB26" s="274"/>
      <c r="CC26" s="274"/>
      <c r="CD26" s="366">
        <v>0</v>
      </c>
      <c r="CE26" s="274"/>
      <c r="CF26" s="366"/>
      <c r="CG26" s="274"/>
      <c r="CH26" s="366">
        <v>512.66</v>
      </c>
      <c r="CI26" s="274"/>
      <c r="CJ26" s="366">
        <v>2055</v>
      </c>
      <c r="CK26" s="274"/>
      <c r="CL26" s="366">
        <f t="shared" si="15"/>
        <v>512.66</v>
      </c>
      <c r="CM26" s="274"/>
      <c r="CN26" s="366">
        <f t="shared" si="22"/>
        <v>2055</v>
      </c>
      <c r="CO26" s="274"/>
      <c r="CP26" s="366">
        <v>0</v>
      </c>
      <c r="CQ26" s="274"/>
      <c r="CR26" s="274"/>
      <c r="CS26" s="274"/>
      <c r="CT26" s="366">
        <f t="shared" si="16"/>
        <v>1755.37</v>
      </c>
      <c r="CU26" s="274"/>
      <c r="CV26" s="366">
        <f t="shared" si="23"/>
        <v>7035</v>
      </c>
      <c r="CW26" s="274"/>
      <c r="CX26" s="366">
        <v>0</v>
      </c>
      <c r="CY26" s="274"/>
      <c r="CZ26" s="274"/>
      <c r="DA26" s="274"/>
      <c r="DB26" s="366">
        <f t="shared" si="17"/>
        <v>3315.48</v>
      </c>
      <c r="DC26" s="274"/>
      <c r="DD26" s="366">
        <f t="shared" si="18"/>
        <v>13327</v>
      </c>
      <c r="DF26" s="377">
        <f t="shared" si="8"/>
        <v>6724</v>
      </c>
      <c r="DG26" s="390">
        <f t="shared" si="9"/>
        <v>6603</v>
      </c>
      <c r="DH26" s="376">
        <f t="shared" si="10"/>
        <v>13327</v>
      </c>
    </row>
    <row r="27" spans="1:112" x14ac:dyDescent="0.25">
      <c r="A27" s="369"/>
      <c r="B27" s="369"/>
      <c r="C27" s="369"/>
      <c r="D27" s="369"/>
      <c r="E27" s="369" t="s">
        <v>150</v>
      </c>
      <c r="F27" s="366">
        <v>25.62</v>
      </c>
      <c r="G27" s="274"/>
      <c r="H27" s="366">
        <v>104</v>
      </c>
      <c r="I27" s="274"/>
      <c r="J27" s="366">
        <v>66.63</v>
      </c>
      <c r="K27" s="274"/>
      <c r="L27" s="366">
        <v>271</v>
      </c>
      <c r="M27" s="274"/>
      <c r="N27" s="366">
        <f t="shared" si="11"/>
        <v>92.25</v>
      </c>
      <c r="O27" s="274"/>
      <c r="P27" s="366">
        <f t="shared" si="19"/>
        <v>375</v>
      </c>
      <c r="Q27" s="274"/>
      <c r="R27" s="366">
        <v>138.41999999999999</v>
      </c>
      <c r="S27" s="274"/>
      <c r="T27" s="366">
        <v>562</v>
      </c>
      <c r="U27" s="274"/>
      <c r="V27" s="366">
        <v>0</v>
      </c>
      <c r="W27" s="274"/>
      <c r="X27" s="366"/>
      <c r="Y27" s="274"/>
      <c r="Z27" s="366">
        <v>0</v>
      </c>
      <c r="AA27" s="274"/>
      <c r="AB27" s="366"/>
      <c r="AC27" s="274"/>
      <c r="AD27" s="366">
        <v>0</v>
      </c>
      <c r="AE27" s="274"/>
      <c r="AF27" s="366"/>
      <c r="AG27" s="274"/>
      <c r="AH27" s="366">
        <v>0</v>
      </c>
      <c r="AI27" s="274"/>
      <c r="AJ27" s="366">
        <v>0</v>
      </c>
      <c r="AK27" s="274"/>
      <c r="AL27" s="366">
        <v>123.03</v>
      </c>
      <c r="AM27" s="274"/>
      <c r="AN27" s="366">
        <v>500</v>
      </c>
      <c r="AO27" s="274"/>
      <c r="AP27" s="366">
        <f t="shared" si="12"/>
        <v>123.03</v>
      </c>
      <c r="AQ27" s="274"/>
      <c r="AR27" s="366">
        <f t="shared" si="24"/>
        <v>500</v>
      </c>
      <c r="AS27" s="274"/>
      <c r="AT27" s="366">
        <v>0</v>
      </c>
      <c r="AU27" s="274"/>
      <c r="AV27" s="366"/>
      <c r="AW27" s="274"/>
      <c r="AX27" s="366">
        <v>0</v>
      </c>
      <c r="AY27" s="274"/>
      <c r="AZ27" s="366">
        <v>0</v>
      </c>
      <c r="BA27" s="274"/>
      <c r="BB27" s="366">
        <v>97.41</v>
      </c>
      <c r="BC27" s="274"/>
      <c r="BD27" s="366">
        <v>396</v>
      </c>
      <c r="BE27" s="274"/>
      <c r="BF27" s="366">
        <v>0</v>
      </c>
      <c r="BG27" s="274"/>
      <c r="BH27" s="366">
        <v>0</v>
      </c>
      <c r="BI27" s="274"/>
      <c r="BJ27" s="366">
        <f t="shared" si="13"/>
        <v>97.41</v>
      </c>
      <c r="BK27" s="274"/>
      <c r="BL27" s="366">
        <f t="shared" si="20"/>
        <v>396</v>
      </c>
      <c r="BM27" s="274"/>
      <c r="BN27" s="366">
        <v>0</v>
      </c>
      <c r="BO27" s="274"/>
      <c r="BP27" s="366">
        <v>0</v>
      </c>
      <c r="BQ27" s="274"/>
      <c r="BR27" s="366">
        <v>20.52</v>
      </c>
      <c r="BS27" s="274"/>
      <c r="BT27" s="366">
        <v>83</v>
      </c>
      <c r="BU27" s="274"/>
      <c r="BV27" s="366">
        <f t="shared" si="14"/>
        <v>117.93</v>
      </c>
      <c r="BW27" s="274"/>
      <c r="BX27" s="366">
        <f t="shared" si="21"/>
        <v>479</v>
      </c>
      <c r="BY27" s="274"/>
      <c r="BZ27" s="366">
        <v>0</v>
      </c>
      <c r="CA27" s="274"/>
      <c r="CB27" s="274"/>
      <c r="CC27" s="274"/>
      <c r="CD27" s="366">
        <v>0</v>
      </c>
      <c r="CE27" s="274"/>
      <c r="CF27" s="366"/>
      <c r="CG27" s="274"/>
      <c r="CH27" s="366">
        <v>107.67</v>
      </c>
      <c r="CI27" s="274"/>
      <c r="CJ27" s="366">
        <v>437</v>
      </c>
      <c r="CK27" s="274"/>
      <c r="CL27" s="366">
        <f t="shared" si="15"/>
        <v>107.67</v>
      </c>
      <c r="CM27" s="274"/>
      <c r="CN27" s="366">
        <f t="shared" si="22"/>
        <v>437</v>
      </c>
      <c r="CO27" s="274"/>
      <c r="CP27" s="366">
        <v>0</v>
      </c>
      <c r="CQ27" s="274"/>
      <c r="CR27" s="274"/>
      <c r="CS27" s="274"/>
      <c r="CT27" s="366">
        <f t="shared" si="16"/>
        <v>348.63</v>
      </c>
      <c r="CU27" s="274"/>
      <c r="CV27" s="366">
        <f t="shared" si="23"/>
        <v>1416</v>
      </c>
      <c r="CW27" s="274"/>
      <c r="CX27" s="366">
        <v>0</v>
      </c>
      <c r="CY27" s="274"/>
      <c r="CZ27" s="274"/>
      <c r="DA27" s="274"/>
      <c r="DB27" s="366">
        <f t="shared" si="17"/>
        <v>579.29999999999995</v>
      </c>
      <c r="DC27" s="274"/>
      <c r="DD27" s="366">
        <f t="shared" si="18"/>
        <v>2353</v>
      </c>
      <c r="DF27" s="377">
        <f t="shared" si="8"/>
        <v>1020</v>
      </c>
      <c r="DG27" s="390">
        <f t="shared" si="9"/>
        <v>1333</v>
      </c>
      <c r="DH27" s="376">
        <f t="shared" si="10"/>
        <v>2353</v>
      </c>
    </row>
    <row r="28" spans="1:112" x14ac:dyDescent="0.25">
      <c r="A28" s="369"/>
      <c r="B28" s="369"/>
      <c r="C28" s="369"/>
      <c r="D28" s="369"/>
      <c r="E28" s="369" t="s">
        <v>350</v>
      </c>
      <c r="F28" s="366">
        <v>4.53</v>
      </c>
      <c r="G28" s="274"/>
      <c r="H28" s="366">
        <v>30</v>
      </c>
      <c r="I28" s="274"/>
      <c r="J28" s="366">
        <v>11.82</v>
      </c>
      <c r="K28" s="274"/>
      <c r="L28" s="366">
        <v>78</v>
      </c>
      <c r="M28" s="274"/>
      <c r="N28" s="366">
        <f t="shared" si="11"/>
        <v>16.350000000000001</v>
      </c>
      <c r="O28" s="274"/>
      <c r="P28" s="366">
        <f t="shared" si="19"/>
        <v>108</v>
      </c>
      <c r="Q28" s="274"/>
      <c r="R28" s="366">
        <v>2326.9299999999998</v>
      </c>
      <c r="S28" s="274"/>
      <c r="T28" s="366">
        <v>3763</v>
      </c>
      <c r="U28" s="274"/>
      <c r="V28" s="366">
        <v>0</v>
      </c>
      <c r="W28" s="274"/>
      <c r="X28" s="366"/>
      <c r="Y28" s="274"/>
      <c r="Z28" s="366">
        <v>0</v>
      </c>
      <c r="AA28" s="274"/>
      <c r="AB28" s="366"/>
      <c r="AC28" s="274"/>
      <c r="AD28" s="366">
        <v>0</v>
      </c>
      <c r="AE28" s="274"/>
      <c r="AF28" s="366"/>
      <c r="AG28" s="274"/>
      <c r="AH28" s="366">
        <v>0</v>
      </c>
      <c r="AI28" s="274"/>
      <c r="AJ28" s="366">
        <v>0</v>
      </c>
      <c r="AK28" s="274"/>
      <c r="AL28" s="366">
        <v>21.78</v>
      </c>
      <c r="AM28" s="274"/>
      <c r="AN28" s="366">
        <v>145</v>
      </c>
      <c r="AO28" s="274"/>
      <c r="AP28" s="366">
        <f t="shared" si="12"/>
        <v>21.78</v>
      </c>
      <c r="AQ28" s="274"/>
      <c r="AR28" s="366">
        <f t="shared" si="24"/>
        <v>145</v>
      </c>
      <c r="AS28" s="274"/>
      <c r="AT28" s="366">
        <v>0</v>
      </c>
      <c r="AU28" s="274"/>
      <c r="AV28" s="366"/>
      <c r="AW28" s="274"/>
      <c r="AX28" s="366">
        <v>0</v>
      </c>
      <c r="AY28" s="274"/>
      <c r="AZ28" s="366">
        <v>0</v>
      </c>
      <c r="BA28" s="274"/>
      <c r="BB28" s="366">
        <v>17.28</v>
      </c>
      <c r="BC28" s="274"/>
      <c r="BD28" s="366">
        <v>19415</v>
      </c>
      <c r="BE28" s="274"/>
      <c r="BF28" s="366">
        <v>0</v>
      </c>
      <c r="BG28" s="274"/>
      <c r="BH28" s="366">
        <v>0</v>
      </c>
      <c r="BI28" s="274"/>
      <c r="BJ28" s="366">
        <f t="shared" si="13"/>
        <v>17.28</v>
      </c>
      <c r="BK28" s="274"/>
      <c r="BL28" s="366">
        <f t="shared" si="20"/>
        <v>19415</v>
      </c>
      <c r="BM28" s="274"/>
      <c r="BN28" s="366">
        <v>0</v>
      </c>
      <c r="BO28" s="274"/>
      <c r="BP28" s="366">
        <v>0</v>
      </c>
      <c r="BQ28" s="274"/>
      <c r="BR28" s="366">
        <v>411.38</v>
      </c>
      <c r="BS28" s="274"/>
      <c r="BT28" s="366">
        <v>24</v>
      </c>
      <c r="BU28" s="274"/>
      <c r="BV28" s="366">
        <f t="shared" si="14"/>
        <v>428.66</v>
      </c>
      <c r="BW28" s="274"/>
      <c r="BX28" s="366">
        <f t="shared" si="21"/>
        <v>19439</v>
      </c>
      <c r="BY28" s="274"/>
      <c r="BZ28" s="366">
        <v>0</v>
      </c>
      <c r="CA28" s="274"/>
      <c r="CB28" s="274"/>
      <c r="CC28" s="274"/>
      <c r="CD28" s="366">
        <v>0</v>
      </c>
      <c r="CE28" s="274"/>
      <c r="CF28" s="366"/>
      <c r="CG28" s="274"/>
      <c r="CH28" s="366">
        <v>19.079999999999998</v>
      </c>
      <c r="CI28" s="274"/>
      <c r="CJ28" s="366">
        <v>127</v>
      </c>
      <c r="CK28" s="274"/>
      <c r="CL28" s="366">
        <f t="shared" si="15"/>
        <v>19.079999999999998</v>
      </c>
      <c r="CM28" s="274"/>
      <c r="CN28" s="366">
        <f t="shared" si="22"/>
        <v>127</v>
      </c>
      <c r="CO28" s="274"/>
      <c r="CP28" s="366">
        <v>0</v>
      </c>
      <c r="CQ28" s="274"/>
      <c r="CR28" s="274"/>
      <c r="CS28" s="274"/>
      <c r="CT28" s="366">
        <f t="shared" si="16"/>
        <v>469.52</v>
      </c>
      <c r="CU28" s="274"/>
      <c r="CV28" s="366">
        <f t="shared" si="23"/>
        <v>19711</v>
      </c>
      <c r="CW28" s="274"/>
      <c r="CX28" s="366">
        <v>0</v>
      </c>
      <c r="CY28" s="274"/>
      <c r="CZ28" s="274"/>
      <c r="DA28" s="274"/>
      <c r="DB28" s="366">
        <f t="shared" si="17"/>
        <v>2812.8</v>
      </c>
      <c r="DC28" s="274"/>
      <c r="DD28" s="366">
        <f t="shared" si="18"/>
        <v>23582</v>
      </c>
      <c r="DF28" s="377">
        <f t="shared" si="8"/>
        <v>3895</v>
      </c>
      <c r="DG28" s="390">
        <f t="shared" si="9"/>
        <v>19687</v>
      </c>
      <c r="DH28" s="376">
        <f t="shared" si="10"/>
        <v>23582</v>
      </c>
    </row>
    <row r="29" spans="1:112" x14ac:dyDescent="0.25">
      <c r="A29" s="369"/>
      <c r="B29" s="369"/>
      <c r="C29" s="369"/>
      <c r="D29" s="369"/>
      <c r="E29" s="369" t="s">
        <v>351</v>
      </c>
      <c r="F29" s="366">
        <v>0</v>
      </c>
      <c r="G29" s="274"/>
      <c r="H29" s="366">
        <v>10009</v>
      </c>
      <c r="I29" s="274"/>
      <c r="J29" s="366">
        <v>0</v>
      </c>
      <c r="K29" s="274"/>
      <c r="L29" s="366">
        <v>50</v>
      </c>
      <c r="M29" s="274"/>
      <c r="N29" s="366">
        <f t="shared" si="11"/>
        <v>0</v>
      </c>
      <c r="O29" s="274"/>
      <c r="P29" s="366">
        <f t="shared" si="19"/>
        <v>10059</v>
      </c>
      <c r="Q29" s="274"/>
      <c r="R29" s="366">
        <v>0</v>
      </c>
      <c r="S29" s="274"/>
      <c r="T29" s="366">
        <v>551</v>
      </c>
      <c r="U29" s="274"/>
      <c r="V29" s="366">
        <v>0</v>
      </c>
      <c r="W29" s="274"/>
      <c r="X29" s="366"/>
      <c r="Y29" s="274"/>
      <c r="Z29" s="366">
        <v>0</v>
      </c>
      <c r="AA29" s="274"/>
      <c r="AB29" s="366"/>
      <c r="AC29" s="274"/>
      <c r="AD29" s="366">
        <v>0</v>
      </c>
      <c r="AE29" s="274"/>
      <c r="AF29" s="366"/>
      <c r="AG29" s="274"/>
      <c r="AH29" s="366">
        <v>0</v>
      </c>
      <c r="AI29" s="274"/>
      <c r="AJ29" s="366">
        <v>0</v>
      </c>
      <c r="AK29" s="274"/>
      <c r="AL29" s="366">
        <v>0</v>
      </c>
      <c r="AM29" s="274"/>
      <c r="AN29" s="366">
        <v>3045</v>
      </c>
      <c r="AO29" s="274"/>
      <c r="AP29" s="366">
        <f t="shared" si="12"/>
        <v>0</v>
      </c>
      <c r="AQ29" s="274"/>
      <c r="AR29" s="366">
        <f t="shared" si="24"/>
        <v>3045</v>
      </c>
      <c r="AS29" s="274"/>
      <c r="AT29" s="366">
        <v>0</v>
      </c>
      <c r="AU29" s="274"/>
      <c r="AV29" s="366"/>
      <c r="AW29" s="274"/>
      <c r="AX29" s="366">
        <v>0</v>
      </c>
      <c r="AY29" s="274"/>
      <c r="AZ29" s="366">
        <v>0</v>
      </c>
      <c r="BA29" s="274"/>
      <c r="BB29" s="366">
        <v>0</v>
      </c>
      <c r="BC29" s="274"/>
      <c r="BD29" s="366">
        <v>536</v>
      </c>
      <c r="BE29" s="274"/>
      <c r="BF29" s="366">
        <v>0</v>
      </c>
      <c r="BG29" s="274"/>
      <c r="BH29" s="366">
        <v>0</v>
      </c>
      <c r="BI29" s="274"/>
      <c r="BJ29" s="366">
        <f t="shared" si="13"/>
        <v>0</v>
      </c>
      <c r="BK29" s="274"/>
      <c r="BL29" s="366">
        <f t="shared" si="20"/>
        <v>536</v>
      </c>
      <c r="BM29" s="274"/>
      <c r="BN29" s="366">
        <v>0</v>
      </c>
      <c r="BO29" s="274"/>
      <c r="BP29" s="366">
        <v>0</v>
      </c>
      <c r="BQ29" s="274"/>
      <c r="BR29" s="366">
        <v>0</v>
      </c>
      <c r="BS29" s="274"/>
      <c r="BT29" s="366">
        <v>8</v>
      </c>
      <c r="BU29" s="274"/>
      <c r="BV29" s="366">
        <f t="shared" si="14"/>
        <v>0</v>
      </c>
      <c r="BW29" s="274"/>
      <c r="BX29" s="366">
        <f t="shared" si="21"/>
        <v>544</v>
      </c>
      <c r="BY29" s="274"/>
      <c r="BZ29" s="366">
        <v>0</v>
      </c>
      <c r="CA29" s="274"/>
      <c r="CB29" s="274"/>
      <c r="CC29" s="274"/>
      <c r="CD29" s="366">
        <v>0</v>
      </c>
      <c r="CE29" s="274"/>
      <c r="CF29" s="366"/>
      <c r="CG29" s="274"/>
      <c r="CH29" s="366">
        <v>0</v>
      </c>
      <c r="CI29" s="274"/>
      <c r="CJ29" s="366">
        <v>40</v>
      </c>
      <c r="CK29" s="274"/>
      <c r="CL29" s="366">
        <f t="shared" si="15"/>
        <v>0</v>
      </c>
      <c r="CM29" s="274"/>
      <c r="CN29" s="366">
        <f t="shared" si="22"/>
        <v>40</v>
      </c>
      <c r="CO29" s="274"/>
      <c r="CP29" s="366">
        <v>0</v>
      </c>
      <c r="CQ29" s="274"/>
      <c r="CR29" s="274"/>
      <c r="CS29" s="274"/>
      <c r="CT29" s="366">
        <f t="shared" si="16"/>
        <v>0</v>
      </c>
      <c r="CU29" s="274"/>
      <c r="CV29" s="366">
        <f t="shared" si="23"/>
        <v>3629</v>
      </c>
      <c r="CW29" s="274"/>
      <c r="CX29" s="366">
        <v>0</v>
      </c>
      <c r="CY29" s="274"/>
      <c r="CZ29" s="274"/>
      <c r="DA29" s="274"/>
      <c r="DB29" s="366">
        <f t="shared" si="17"/>
        <v>0</v>
      </c>
      <c r="DC29" s="274"/>
      <c r="DD29" s="366">
        <f t="shared" si="18"/>
        <v>14239</v>
      </c>
      <c r="DF29" s="377">
        <f t="shared" si="8"/>
        <v>10618</v>
      </c>
      <c r="DG29" s="390">
        <f t="shared" si="9"/>
        <v>3621</v>
      </c>
      <c r="DH29" s="376">
        <f t="shared" si="10"/>
        <v>14239</v>
      </c>
    </row>
    <row r="30" spans="1:112" x14ac:dyDescent="0.25">
      <c r="A30" s="369"/>
      <c r="B30" s="369"/>
      <c r="C30" s="369"/>
      <c r="D30" s="369"/>
      <c r="E30" s="369" t="s">
        <v>154</v>
      </c>
      <c r="F30" s="366">
        <v>571.20000000000005</v>
      </c>
      <c r="G30" s="274"/>
      <c r="H30" s="366">
        <v>1689</v>
      </c>
      <c r="I30" s="274"/>
      <c r="J30" s="366">
        <v>184.74</v>
      </c>
      <c r="K30" s="274"/>
      <c r="L30" s="366">
        <v>208</v>
      </c>
      <c r="M30" s="274"/>
      <c r="N30" s="366">
        <f t="shared" si="11"/>
        <v>755.94</v>
      </c>
      <c r="O30" s="274"/>
      <c r="P30" s="366">
        <f t="shared" si="19"/>
        <v>1897</v>
      </c>
      <c r="Q30" s="274"/>
      <c r="R30" s="366">
        <v>383.65</v>
      </c>
      <c r="S30" s="274"/>
      <c r="T30" s="366">
        <v>250</v>
      </c>
      <c r="U30" s="274"/>
      <c r="V30" s="366">
        <v>0</v>
      </c>
      <c r="W30" s="274"/>
      <c r="X30" s="366"/>
      <c r="Y30" s="274"/>
      <c r="Z30" s="366">
        <v>0</v>
      </c>
      <c r="AA30" s="274"/>
      <c r="AB30" s="366"/>
      <c r="AC30" s="274"/>
      <c r="AD30" s="366">
        <v>0</v>
      </c>
      <c r="AE30" s="274"/>
      <c r="AF30" s="366"/>
      <c r="AG30" s="274"/>
      <c r="AH30" s="366">
        <v>0</v>
      </c>
      <c r="AI30" s="274"/>
      <c r="AJ30" s="366"/>
      <c r="AK30" s="274"/>
      <c r="AL30" s="366">
        <v>341.04</v>
      </c>
      <c r="AM30" s="274"/>
      <c r="AN30" s="366">
        <v>233</v>
      </c>
      <c r="AO30" s="274"/>
      <c r="AP30" s="366">
        <f t="shared" si="12"/>
        <v>341.04</v>
      </c>
      <c r="AQ30" s="274"/>
      <c r="AR30" s="366">
        <f t="shared" si="24"/>
        <v>233</v>
      </c>
      <c r="AS30" s="274"/>
      <c r="AT30" s="366">
        <v>0</v>
      </c>
      <c r="AU30" s="274"/>
      <c r="AV30" s="366"/>
      <c r="AW30" s="274"/>
      <c r="AX30" s="366">
        <v>0</v>
      </c>
      <c r="AY30" s="274"/>
      <c r="AZ30" s="366">
        <v>0</v>
      </c>
      <c r="BA30" s="274"/>
      <c r="BB30" s="366">
        <v>269.98</v>
      </c>
      <c r="BC30" s="274"/>
      <c r="BD30" s="366">
        <v>224</v>
      </c>
      <c r="BE30" s="274"/>
      <c r="BF30" s="366">
        <v>0</v>
      </c>
      <c r="BG30" s="274"/>
      <c r="BH30" s="366">
        <v>0</v>
      </c>
      <c r="BI30" s="274"/>
      <c r="BJ30" s="366">
        <f t="shared" si="13"/>
        <v>269.98</v>
      </c>
      <c r="BK30" s="274"/>
      <c r="BL30" s="366">
        <f t="shared" si="20"/>
        <v>224</v>
      </c>
      <c r="BM30" s="274"/>
      <c r="BN30" s="366">
        <v>0</v>
      </c>
      <c r="BO30" s="274"/>
      <c r="BP30" s="366">
        <v>0</v>
      </c>
      <c r="BQ30" s="274"/>
      <c r="BR30" s="366">
        <v>56.82</v>
      </c>
      <c r="BS30" s="274"/>
      <c r="BT30" s="366">
        <v>10</v>
      </c>
      <c r="BU30" s="274"/>
      <c r="BV30" s="366">
        <f t="shared" si="14"/>
        <v>326.8</v>
      </c>
      <c r="BW30" s="274"/>
      <c r="BX30" s="366">
        <f t="shared" si="21"/>
        <v>234</v>
      </c>
      <c r="BY30" s="274"/>
      <c r="BZ30" s="366">
        <v>0</v>
      </c>
      <c r="CA30" s="274"/>
      <c r="CB30" s="274"/>
      <c r="CC30" s="274"/>
      <c r="CD30" s="366">
        <v>0</v>
      </c>
      <c r="CE30" s="274"/>
      <c r="CF30" s="366"/>
      <c r="CG30" s="274"/>
      <c r="CH30" s="366">
        <v>298.41000000000003</v>
      </c>
      <c r="CI30" s="274"/>
      <c r="CJ30" s="366">
        <v>3836</v>
      </c>
      <c r="CK30" s="274"/>
      <c r="CL30" s="366">
        <f t="shared" si="15"/>
        <v>298.41000000000003</v>
      </c>
      <c r="CM30" s="274"/>
      <c r="CN30" s="366">
        <f t="shared" si="22"/>
        <v>3836</v>
      </c>
      <c r="CO30" s="274"/>
      <c r="CP30" s="366">
        <v>0</v>
      </c>
      <c r="CQ30" s="274"/>
      <c r="CR30" s="274"/>
      <c r="CS30" s="274"/>
      <c r="CT30" s="366">
        <f t="shared" si="16"/>
        <v>966.25</v>
      </c>
      <c r="CU30" s="274"/>
      <c r="CV30" s="366">
        <f t="shared" si="23"/>
        <v>4303</v>
      </c>
      <c r="CW30" s="274"/>
      <c r="CX30" s="366">
        <v>0</v>
      </c>
      <c r="CY30" s="274"/>
      <c r="CZ30" s="274"/>
      <c r="DA30" s="274"/>
      <c r="DB30" s="366">
        <f t="shared" si="17"/>
        <v>2105.84</v>
      </c>
      <c r="DC30" s="274"/>
      <c r="DD30" s="366">
        <f t="shared" si="18"/>
        <v>6450</v>
      </c>
      <c r="DF30" s="377">
        <f t="shared" si="8"/>
        <v>2157</v>
      </c>
      <c r="DG30" s="390">
        <f t="shared" si="9"/>
        <v>4293</v>
      </c>
      <c r="DH30" s="376">
        <f t="shared" si="10"/>
        <v>6450</v>
      </c>
    </row>
    <row r="31" spans="1:112" x14ac:dyDescent="0.25">
      <c r="A31" s="369"/>
      <c r="B31" s="369"/>
      <c r="C31" s="369"/>
      <c r="D31" s="369"/>
      <c r="E31" s="369" t="s">
        <v>156</v>
      </c>
      <c r="F31" s="366">
        <v>34.340000000000003</v>
      </c>
      <c r="G31" s="274"/>
      <c r="H31" s="366">
        <v>366</v>
      </c>
      <c r="I31" s="274"/>
      <c r="J31" s="366">
        <v>81.8</v>
      </c>
      <c r="K31" s="274"/>
      <c r="L31" s="366">
        <v>952</v>
      </c>
      <c r="M31" s="274"/>
      <c r="N31" s="366">
        <f t="shared" si="11"/>
        <v>116.14</v>
      </c>
      <c r="O31" s="274"/>
      <c r="P31" s="366">
        <f t="shared" si="19"/>
        <v>1318</v>
      </c>
      <c r="Q31" s="274"/>
      <c r="R31" s="366">
        <v>1745.85</v>
      </c>
      <c r="S31" s="274"/>
      <c r="T31" s="366">
        <v>1977</v>
      </c>
      <c r="U31" s="274"/>
      <c r="V31" s="366">
        <v>0</v>
      </c>
      <c r="W31" s="274"/>
      <c r="X31" s="366"/>
      <c r="Y31" s="274"/>
      <c r="Z31" s="366">
        <v>0</v>
      </c>
      <c r="AA31" s="274"/>
      <c r="AB31" s="366"/>
      <c r="AC31" s="274"/>
      <c r="AD31" s="366">
        <v>0</v>
      </c>
      <c r="AE31" s="274"/>
      <c r="AF31" s="366"/>
      <c r="AG31" s="274"/>
      <c r="AH31" s="366">
        <v>0</v>
      </c>
      <c r="AI31" s="274"/>
      <c r="AJ31" s="366">
        <v>0</v>
      </c>
      <c r="AK31" s="274"/>
      <c r="AL31" s="366">
        <v>172.72</v>
      </c>
      <c r="AM31" s="274"/>
      <c r="AN31" s="366">
        <v>2757</v>
      </c>
      <c r="AO31" s="274"/>
      <c r="AP31" s="366">
        <f t="shared" si="12"/>
        <v>172.72</v>
      </c>
      <c r="AQ31" s="274"/>
      <c r="AR31" s="366">
        <f t="shared" si="24"/>
        <v>2757</v>
      </c>
      <c r="AS31" s="274"/>
      <c r="AT31" s="366">
        <v>0</v>
      </c>
      <c r="AU31" s="274"/>
      <c r="AV31" s="366"/>
      <c r="AW31" s="274"/>
      <c r="AX31" s="366">
        <v>0</v>
      </c>
      <c r="AY31" s="274"/>
      <c r="AZ31" s="366">
        <v>0</v>
      </c>
      <c r="BA31" s="274"/>
      <c r="BB31" s="366">
        <v>155.82</v>
      </c>
      <c r="BC31" s="274"/>
      <c r="BD31" s="366">
        <v>1391</v>
      </c>
      <c r="BE31" s="274"/>
      <c r="BF31" s="366">
        <v>0</v>
      </c>
      <c r="BG31" s="274"/>
      <c r="BH31" s="366">
        <v>0</v>
      </c>
      <c r="BI31" s="274"/>
      <c r="BJ31" s="366">
        <f t="shared" si="13"/>
        <v>155.82</v>
      </c>
      <c r="BK31" s="274"/>
      <c r="BL31" s="366">
        <f t="shared" si="20"/>
        <v>1391</v>
      </c>
      <c r="BM31" s="274"/>
      <c r="BN31" s="366">
        <v>0</v>
      </c>
      <c r="BO31" s="274"/>
      <c r="BP31" s="366">
        <v>0</v>
      </c>
      <c r="BQ31" s="274"/>
      <c r="BR31" s="366">
        <v>23.75</v>
      </c>
      <c r="BS31" s="274"/>
      <c r="BT31" s="366">
        <v>293</v>
      </c>
      <c r="BU31" s="274"/>
      <c r="BV31" s="366">
        <f t="shared" si="14"/>
        <v>179.57</v>
      </c>
      <c r="BW31" s="274"/>
      <c r="BX31" s="366">
        <f t="shared" si="21"/>
        <v>1684</v>
      </c>
      <c r="BY31" s="274"/>
      <c r="BZ31" s="366">
        <v>0</v>
      </c>
      <c r="CA31" s="274"/>
      <c r="CB31" s="274"/>
      <c r="CC31" s="274"/>
      <c r="CD31" s="366">
        <v>0</v>
      </c>
      <c r="CE31" s="274"/>
      <c r="CF31" s="366"/>
      <c r="CG31" s="274"/>
      <c r="CH31" s="366">
        <v>131.30000000000001</v>
      </c>
      <c r="CI31" s="274"/>
      <c r="CJ31" s="366">
        <v>1537</v>
      </c>
      <c r="CK31" s="274"/>
      <c r="CL31" s="366">
        <f t="shared" si="15"/>
        <v>131.30000000000001</v>
      </c>
      <c r="CM31" s="274"/>
      <c r="CN31" s="366">
        <f t="shared" si="22"/>
        <v>1537</v>
      </c>
      <c r="CO31" s="274"/>
      <c r="CP31" s="366">
        <v>0</v>
      </c>
      <c r="CQ31" s="274"/>
      <c r="CR31" s="274"/>
      <c r="CS31" s="274"/>
      <c r="CT31" s="366">
        <f t="shared" si="16"/>
        <v>483.59</v>
      </c>
      <c r="CU31" s="274"/>
      <c r="CV31" s="366">
        <f t="shared" si="23"/>
        <v>5978</v>
      </c>
      <c r="CW31" s="274"/>
      <c r="CX31" s="366">
        <v>0</v>
      </c>
      <c r="CY31" s="274"/>
      <c r="CZ31" s="274"/>
      <c r="DA31" s="274"/>
      <c r="DB31" s="366">
        <f t="shared" si="17"/>
        <v>2345.58</v>
      </c>
      <c r="DC31" s="274"/>
      <c r="DD31" s="366">
        <f t="shared" si="18"/>
        <v>9273</v>
      </c>
      <c r="DF31" s="377">
        <f t="shared" si="8"/>
        <v>3588</v>
      </c>
      <c r="DG31" s="390">
        <f t="shared" si="9"/>
        <v>5685</v>
      </c>
      <c r="DH31" s="376">
        <f t="shared" si="10"/>
        <v>9273</v>
      </c>
    </row>
    <row r="32" spans="1:112" x14ac:dyDescent="0.25">
      <c r="A32" s="369"/>
      <c r="B32" s="369"/>
      <c r="C32" s="369"/>
      <c r="D32" s="369"/>
      <c r="E32" s="369" t="s">
        <v>157</v>
      </c>
      <c r="F32" s="366">
        <v>4.6500000000000004</v>
      </c>
      <c r="G32" s="274"/>
      <c r="H32" s="366">
        <v>438</v>
      </c>
      <c r="I32" s="274"/>
      <c r="J32" s="366">
        <v>12.09</v>
      </c>
      <c r="K32" s="274"/>
      <c r="L32" s="366">
        <v>7138</v>
      </c>
      <c r="M32" s="274"/>
      <c r="N32" s="366">
        <f t="shared" si="11"/>
        <v>16.739999999999998</v>
      </c>
      <c r="O32" s="274"/>
      <c r="P32" s="366">
        <f t="shared" si="19"/>
        <v>7576</v>
      </c>
      <c r="Q32" s="274"/>
      <c r="R32" s="366">
        <v>25.12</v>
      </c>
      <c r="S32" s="274"/>
      <c r="T32" s="366">
        <v>2364</v>
      </c>
      <c r="U32" s="274"/>
      <c r="V32" s="366">
        <v>0</v>
      </c>
      <c r="W32" s="274"/>
      <c r="X32" s="366"/>
      <c r="Y32" s="274"/>
      <c r="Z32" s="366">
        <v>0</v>
      </c>
      <c r="AA32" s="274"/>
      <c r="AB32" s="366"/>
      <c r="AC32" s="274"/>
      <c r="AD32" s="366">
        <v>0</v>
      </c>
      <c r="AE32" s="274"/>
      <c r="AF32" s="366"/>
      <c r="AG32" s="274"/>
      <c r="AH32" s="366">
        <v>0</v>
      </c>
      <c r="AI32" s="274"/>
      <c r="AJ32" s="366">
        <v>0</v>
      </c>
      <c r="AK32" s="274"/>
      <c r="AL32" s="366">
        <v>22.33</v>
      </c>
      <c r="AM32" s="274"/>
      <c r="AN32" s="366">
        <v>110101</v>
      </c>
      <c r="AO32" s="274"/>
      <c r="AP32" s="366">
        <f t="shared" si="12"/>
        <v>22.33</v>
      </c>
      <c r="AQ32" s="274"/>
      <c r="AR32" s="366">
        <f t="shared" si="24"/>
        <v>110101</v>
      </c>
      <c r="AS32" s="274"/>
      <c r="AT32" s="366">
        <v>0</v>
      </c>
      <c r="AU32" s="274"/>
      <c r="AV32" s="366"/>
      <c r="AW32" s="274"/>
      <c r="AX32" s="366">
        <v>0</v>
      </c>
      <c r="AY32" s="274"/>
      <c r="AZ32" s="366">
        <v>0</v>
      </c>
      <c r="BA32" s="274"/>
      <c r="BB32" s="366">
        <v>18317.68</v>
      </c>
      <c r="BC32" s="274"/>
      <c r="BD32" s="366">
        <v>30289</v>
      </c>
      <c r="BE32" s="274"/>
      <c r="BF32" s="366">
        <v>0</v>
      </c>
      <c r="BG32" s="274"/>
      <c r="BH32" s="366">
        <v>0</v>
      </c>
      <c r="BI32" s="274"/>
      <c r="BJ32" s="366">
        <f t="shared" si="13"/>
        <v>18317.68</v>
      </c>
      <c r="BK32" s="274"/>
      <c r="BL32" s="366">
        <f t="shared" si="20"/>
        <v>30289</v>
      </c>
      <c r="BM32" s="274"/>
      <c r="BN32" s="366">
        <v>87.5</v>
      </c>
      <c r="BO32" s="274"/>
      <c r="BP32" s="366">
        <v>0</v>
      </c>
      <c r="BQ32" s="274"/>
      <c r="BR32" s="366">
        <v>3.72</v>
      </c>
      <c r="BS32" s="274"/>
      <c r="BT32" s="366">
        <v>350</v>
      </c>
      <c r="BU32" s="274"/>
      <c r="BV32" s="366">
        <f t="shared" si="14"/>
        <v>18408.900000000001</v>
      </c>
      <c r="BW32" s="274"/>
      <c r="BX32" s="366">
        <f t="shared" si="21"/>
        <v>30639</v>
      </c>
      <c r="BY32" s="274"/>
      <c r="BZ32" s="366">
        <v>5455</v>
      </c>
      <c r="CA32" s="274"/>
      <c r="CB32" s="274"/>
      <c r="CC32" s="274"/>
      <c r="CD32" s="366">
        <v>0</v>
      </c>
      <c r="CE32" s="274"/>
      <c r="CF32" s="366"/>
      <c r="CG32" s="274"/>
      <c r="CH32" s="366">
        <v>13767.33</v>
      </c>
      <c r="CI32" s="274"/>
      <c r="CJ32" s="366">
        <v>21839</v>
      </c>
      <c r="CK32" s="274"/>
      <c r="CL32" s="366">
        <f t="shared" si="15"/>
        <v>13767.33</v>
      </c>
      <c r="CM32" s="274"/>
      <c r="CN32" s="366">
        <f t="shared" si="22"/>
        <v>21839</v>
      </c>
      <c r="CO32" s="274"/>
      <c r="CP32" s="366">
        <v>10000</v>
      </c>
      <c r="CQ32" s="274"/>
      <c r="CR32" s="274"/>
      <c r="CS32" s="274"/>
      <c r="CT32" s="366">
        <f t="shared" si="16"/>
        <v>47653.56</v>
      </c>
      <c r="CU32" s="274"/>
      <c r="CV32" s="366">
        <f t="shared" si="23"/>
        <v>162579</v>
      </c>
      <c r="CW32" s="274"/>
      <c r="CX32" s="366">
        <v>0</v>
      </c>
      <c r="CY32" s="274"/>
      <c r="CZ32" s="274"/>
      <c r="DA32" s="274"/>
      <c r="DB32" s="366">
        <f t="shared" si="17"/>
        <v>47695.42</v>
      </c>
      <c r="DC32" s="274"/>
      <c r="DD32" s="366">
        <f t="shared" si="18"/>
        <v>172519</v>
      </c>
      <c r="DF32" s="377">
        <f t="shared" si="8"/>
        <v>10290</v>
      </c>
      <c r="DG32" s="390">
        <f t="shared" si="9"/>
        <v>162229</v>
      </c>
      <c r="DH32" s="376">
        <f t="shared" si="10"/>
        <v>172519</v>
      </c>
    </row>
    <row r="33" spans="1:112" ht="15.75" thickBot="1" x14ac:dyDescent="0.3">
      <c r="A33" s="369"/>
      <c r="B33" s="369"/>
      <c r="C33" s="369"/>
      <c r="D33" s="369"/>
      <c r="E33" s="369" t="s">
        <v>444</v>
      </c>
      <c r="F33" s="365">
        <v>0</v>
      </c>
      <c r="G33" s="274"/>
      <c r="H33" s="365"/>
      <c r="I33" s="274"/>
      <c r="J33" s="365">
        <v>0</v>
      </c>
      <c r="K33" s="274"/>
      <c r="L33" s="365"/>
      <c r="M33" s="274"/>
      <c r="N33" s="365">
        <f t="shared" si="11"/>
        <v>0</v>
      </c>
      <c r="O33" s="274"/>
      <c r="P33" s="365"/>
      <c r="Q33" s="274"/>
      <c r="R33" s="365">
        <v>0</v>
      </c>
      <c r="S33" s="274"/>
      <c r="T33" s="365"/>
      <c r="U33" s="274"/>
      <c r="V33" s="365">
        <v>0</v>
      </c>
      <c r="W33" s="274"/>
      <c r="X33" s="365"/>
      <c r="Y33" s="274"/>
      <c r="Z33" s="365">
        <v>0</v>
      </c>
      <c r="AA33" s="274"/>
      <c r="AB33" s="366"/>
      <c r="AC33" s="274"/>
      <c r="AD33" s="365">
        <v>0</v>
      </c>
      <c r="AE33" s="274"/>
      <c r="AF33" s="366"/>
      <c r="AG33" s="274"/>
      <c r="AH33" s="365">
        <v>0</v>
      </c>
      <c r="AI33" s="274"/>
      <c r="AJ33" s="365"/>
      <c r="AK33" s="274"/>
      <c r="AL33" s="365">
        <v>0</v>
      </c>
      <c r="AM33" s="274"/>
      <c r="AN33" s="365">
        <v>85000</v>
      </c>
      <c r="AO33" s="274"/>
      <c r="AP33" s="365">
        <f t="shared" si="12"/>
        <v>0</v>
      </c>
      <c r="AQ33" s="274"/>
      <c r="AR33" s="365">
        <f t="shared" si="24"/>
        <v>85000</v>
      </c>
      <c r="AS33" s="274"/>
      <c r="AT33" s="365">
        <v>0</v>
      </c>
      <c r="AU33" s="274"/>
      <c r="AV33" s="365"/>
      <c r="AW33" s="274"/>
      <c r="AX33" s="365">
        <v>0</v>
      </c>
      <c r="AY33" s="274"/>
      <c r="AZ33" s="365"/>
      <c r="BA33" s="274"/>
      <c r="BB33" s="365">
        <v>0</v>
      </c>
      <c r="BC33" s="274"/>
      <c r="BD33" s="365"/>
      <c r="BE33" s="274"/>
      <c r="BF33" s="365">
        <v>0</v>
      </c>
      <c r="BG33" s="274"/>
      <c r="BH33" s="365"/>
      <c r="BI33" s="274"/>
      <c r="BJ33" s="365">
        <f t="shared" si="13"/>
        <v>0</v>
      </c>
      <c r="BK33" s="274"/>
      <c r="BL33" s="365"/>
      <c r="BM33" s="274"/>
      <c r="BN33" s="365">
        <v>0</v>
      </c>
      <c r="BO33" s="274"/>
      <c r="BP33" s="365"/>
      <c r="BQ33" s="274"/>
      <c r="BR33" s="365">
        <v>0</v>
      </c>
      <c r="BS33" s="274"/>
      <c r="BT33" s="365"/>
      <c r="BU33" s="274"/>
      <c r="BV33" s="365">
        <f t="shared" si="14"/>
        <v>0</v>
      </c>
      <c r="BW33" s="274"/>
      <c r="BX33" s="365"/>
      <c r="BY33" s="274"/>
      <c r="BZ33" s="365">
        <v>0</v>
      </c>
      <c r="CA33" s="274"/>
      <c r="CB33" s="274"/>
      <c r="CC33" s="274"/>
      <c r="CD33" s="365">
        <v>0</v>
      </c>
      <c r="CE33" s="274"/>
      <c r="CF33" s="365"/>
      <c r="CG33" s="274"/>
      <c r="CH33" s="365">
        <v>0</v>
      </c>
      <c r="CI33" s="274"/>
      <c r="CJ33" s="365">
        <v>1000</v>
      </c>
      <c r="CK33" s="274"/>
      <c r="CL33" s="365">
        <f t="shared" si="15"/>
        <v>0</v>
      </c>
      <c r="CM33" s="274"/>
      <c r="CN33" s="365">
        <f t="shared" si="22"/>
        <v>1000</v>
      </c>
      <c r="CO33" s="274"/>
      <c r="CP33" s="365">
        <v>0</v>
      </c>
      <c r="CQ33" s="274"/>
      <c r="CR33" s="274"/>
      <c r="CS33" s="274"/>
      <c r="CT33" s="365">
        <f t="shared" si="16"/>
        <v>0</v>
      </c>
      <c r="CU33" s="274"/>
      <c r="CV33" s="365">
        <f t="shared" si="23"/>
        <v>86000</v>
      </c>
      <c r="CW33" s="274"/>
      <c r="CX33" s="365">
        <v>0</v>
      </c>
      <c r="CY33" s="274"/>
      <c r="CZ33" s="274"/>
      <c r="DA33" s="274"/>
      <c r="DB33" s="365">
        <f t="shared" si="17"/>
        <v>0</v>
      </c>
      <c r="DC33" s="274"/>
      <c r="DD33" s="365">
        <f t="shared" si="18"/>
        <v>86000</v>
      </c>
      <c r="DF33" s="377">
        <f t="shared" si="8"/>
        <v>0</v>
      </c>
      <c r="DG33" s="477">
        <f t="shared" si="9"/>
        <v>86000</v>
      </c>
      <c r="DH33" s="376">
        <f t="shared" si="10"/>
        <v>86000</v>
      </c>
    </row>
    <row r="34" spans="1:112" ht="15.75" thickBot="1" x14ac:dyDescent="0.3">
      <c r="A34" s="369"/>
      <c r="B34" s="369"/>
      <c r="C34" s="369"/>
      <c r="D34" s="369" t="s">
        <v>56</v>
      </c>
      <c r="E34" s="369"/>
      <c r="F34" s="277">
        <f>ROUND(SUM(F16:F33),5)</f>
        <v>4461.0200000000004</v>
      </c>
      <c r="G34" s="274"/>
      <c r="H34" s="277">
        <f>ROUND(SUM(H16:H33),5)</f>
        <v>26696</v>
      </c>
      <c r="I34" s="274"/>
      <c r="J34" s="277">
        <f>ROUND(SUM(J16:J33),5)</f>
        <v>9006.81</v>
      </c>
      <c r="K34" s="274"/>
      <c r="L34" s="277">
        <f>ROUND(SUM(L16:L33),5)</f>
        <v>42221</v>
      </c>
      <c r="M34" s="274"/>
      <c r="N34" s="277">
        <f t="shared" si="11"/>
        <v>13467.83</v>
      </c>
      <c r="O34" s="274"/>
      <c r="P34" s="277">
        <f>ROUND(H34+L34,5)</f>
        <v>68917</v>
      </c>
      <c r="Q34" s="274"/>
      <c r="R34" s="277">
        <f>ROUND(SUM(R16:R33),5)</f>
        <v>24292.35</v>
      </c>
      <c r="S34" s="274"/>
      <c r="T34" s="277">
        <f>ROUND(SUM(T16:T33),5)</f>
        <v>90109</v>
      </c>
      <c r="U34" s="274"/>
      <c r="V34" s="277">
        <f>ROUND(SUM(V16:V33),5)</f>
        <v>0</v>
      </c>
      <c r="W34" s="274"/>
      <c r="X34" s="277">
        <f>ROUND(SUM(X16:X33),5)</f>
        <v>0</v>
      </c>
      <c r="Y34" s="274"/>
      <c r="Z34" s="277">
        <f>ROUND(SUM(Z16:Z33),5)</f>
        <v>0</v>
      </c>
      <c r="AA34" s="274"/>
      <c r="AB34" s="365"/>
      <c r="AC34" s="274"/>
      <c r="AD34" s="277">
        <f>ROUND(SUM(AD16:AD33),5)</f>
        <v>0</v>
      </c>
      <c r="AE34" s="274"/>
      <c r="AF34" s="365"/>
      <c r="AG34" s="274"/>
      <c r="AH34" s="277">
        <f>ROUND(SUM(AH16:AH33),5)</f>
        <v>0</v>
      </c>
      <c r="AI34" s="274"/>
      <c r="AJ34" s="277">
        <f>ROUND(SUM(AJ16:AJ33),5)</f>
        <v>0</v>
      </c>
      <c r="AK34" s="274"/>
      <c r="AL34" s="277">
        <f>ROUND(SUM(AL16:AL33),5)</f>
        <v>20781.41</v>
      </c>
      <c r="AM34" s="274"/>
      <c r="AN34" s="277">
        <f>ROUND(SUM(AN16:AN33),5)</f>
        <v>276934</v>
      </c>
      <c r="AO34" s="274"/>
      <c r="AP34" s="277">
        <f t="shared" si="12"/>
        <v>20781.41</v>
      </c>
      <c r="AQ34" s="274"/>
      <c r="AR34" s="277">
        <f t="shared" si="24"/>
        <v>276934</v>
      </c>
      <c r="AS34" s="274"/>
      <c r="AT34" s="277">
        <f>ROUND(SUM(AT16:AT33),5)</f>
        <v>0</v>
      </c>
      <c r="AU34" s="274"/>
      <c r="AV34" s="277">
        <f>ROUND(SUM(AV16:AV33),5)</f>
        <v>0</v>
      </c>
      <c r="AW34" s="274"/>
      <c r="AX34" s="277">
        <f>ROUND(SUM(AX16:AX33),5)</f>
        <v>0</v>
      </c>
      <c r="AY34" s="274"/>
      <c r="AZ34" s="277">
        <f>ROUND(SUM(AZ16:AZ33),5)</f>
        <v>0</v>
      </c>
      <c r="BA34" s="274"/>
      <c r="BB34" s="277">
        <f>ROUND(SUM(BB16:BB33),5)</f>
        <v>29876.03</v>
      </c>
      <c r="BC34" s="274"/>
      <c r="BD34" s="277">
        <f>ROUND(SUM(BD16:BD33),5)</f>
        <v>103521</v>
      </c>
      <c r="BE34" s="274"/>
      <c r="BF34" s="277">
        <f>ROUND(SUM(BF16:BF33),5)</f>
        <v>0</v>
      </c>
      <c r="BG34" s="274"/>
      <c r="BH34" s="277">
        <f>ROUND(SUM(BH16:BH33),5)</f>
        <v>0</v>
      </c>
      <c r="BI34" s="274"/>
      <c r="BJ34" s="277">
        <f t="shared" si="13"/>
        <v>29876.03</v>
      </c>
      <c r="BK34" s="274"/>
      <c r="BL34" s="277">
        <f>ROUND(AV34+AZ34+BD34+BH34,5)</f>
        <v>103521</v>
      </c>
      <c r="BM34" s="274"/>
      <c r="BN34" s="277">
        <f>ROUND(SUM(BN16:BN33),5)</f>
        <v>87.5</v>
      </c>
      <c r="BO34" s="274"/>
      <c r="BP34" s="277">
        <f>ROUND(SUM(BP16:BP33),5)</f>
        <v>0</v>
      </c>
      <c r="BQ34" s="274"/>
      <c r="BR34" s="277">
        <f>ROUND(SUM(BR16:BR33),5)</f>
        <v>3101.6</v>
      </c>
      <c r="BS34" s="274"/>
      <c r="BT34" s="277">
        <f>ROUND(SUM(BT16:BT33),5)</f>
        <v>8596</v>
      </c>
      <c r="BU34" s="274"/>
      <c r="BV34" s="277">
        <f t="shared" si="14"/>
        <v>33065.129999999997</v>
      </c>
      <c r="BW34" s="274"/>
      <c r="BX34" s="277">
        <f>ROUND(BL34+BP34+BT34,5)</f>
        <v>112117</v>
      </c>
      <c r="BY34" s="274"/>
      <c r="BZ34" s="277">
        <f>ROUND(SUM(BZ16:BZ33),5)</f>
        <v>5455</v>
      </c>
      <c r="CA34" s="274"/>
      <c r="CB34" s="274"/>
      <c r="CC34" s="274"/>
      <c r="CD34" s="277">
        <f>ROUND(SUM(CD16:CD33),5)</f>
        <v>0</v>
      </c>
      <c r="CE34" s="274"/>
      <c r="CF34" s="277">
        <f>ROUND(SUM(CF16:CF33),5)</f>
        <v>0</v>
      </c>
      <c r="CG34" s="274"/>
      <c r="CH34" s="277">
        <f>ROUND(SUM(CH16:CH33),5)</f>
        <v>24120.13</v>
      </c>
      <c r="CI34" s="274"/>
      <c r="CJ34" s="277">
        <f>ROUND(SUM(CJ16:CJ33),5)</f>
        <v>68554</v>
      </c>
      <c r="CK34" s="274"/>
      <c r="CL34" s="277">
        <f t="shared" si="15"/>
        <v>24120.13</v>
      </c>
      <c r="CM34" s="274"/>
      <c r="CN34" s="277">
        <f t="shared" si="22"/>
        <v>68554</v>
      </c>
      <c r="CO34" s="274"/>
      <c r="CP34" s="277">
        <f>ROUND(SUM(CP16:CP33),5)</f>
        <v>10000</v>
      </c>
      <c r="CQ34" s="274"/>
      <c r="CR34" s="274"/>
      <c r="CS34" s="274"/>
      <c r="CT34" s="277">
        <f t="shared" si="16"/>
        <v>93421.67</v>
      </c>
      <c r="CU34" s="274"/>
      <c r="CV34" s="277">
        <f t="shared" si="23"/>
        <v>457605</v>
      </c>
      <c r="CW34" s="274"/>
      <c r="CX34" s="277">
        <f>ROUND(SUM(CX16:CX33),5)</f>
        <v>133.47</v>
      </c>
      <c r="CY34" s="274"/>
      <c r="CZ34" s="274"/>
      <c r="DA34" s="274"/>
      <c r="DB34" s="277">
        <f t="shared" si="17"/>
        <v>131315.32</v>
      </c>
      <c r="DC34" s="274"/>
      <c r="DD34" s="277">
        <f t="shared" si="18"/>
        <v>616631</v>
      </c>
      <c r="DF34" s="377">
        <f t="shared" si="8"/>
        <v>167622</v>
      </c>
      <c r="DG34" s="390">
        <f t="shared" si="9"/>
        <v>449009</v>
      </c>
      <c r="DH34" s="376">
        <f t="shared" si="10"/>
        <v>616631</v>
      </c>
    </row>
    <row r="35" spans="1:112" ht="15.75" thickBot="1" x14ac:dyDescent="0.3">
      <c r="A35" s="369"/>
      <c r="B35" s="369" t="s">
        <v>159</v>
      </c>
      <c r="C35" s="369"/>
      <c r="D35" s="369"/>
      <c r="E35" s="369"/>
      <c r="F35" s="277">
        <f>ROUND(F4+F15-F34,5)</f>
        <v>-4461.0200000000004</v>
      </c>
      <c r="G35" s="274"/>
      <c r="H35" s="277">
        <f>ROUND(H4+H15-H34,5)</f>
        <v>-26146</v>
      </c>
      <c r="I35" s="274"/>
      <c r="J35" s="277">
        <f>ROUND(J4+J15-J34,5)</f>
        <v>-3199.8</v>
      </c>
      <c r="K35" s="274"/>
      <c r="L35" s="277">
        <f>ROUND(L4+L15-L34,5)</f>
        <v>-28721</v>
      </c>
      <c r="M35" s="274"/>
      <c r="N35" s="277">
        <f t="shared" si="11"/>
        <v>-7660.82</v>
      </c>
      <c r="O35" s="274"/>
      <c r="P35" s="277">
        <f>ROUND(H35+L35,5)</f>
        <v>-54867</v>
      </c>
      <c r="Q35" s="274"/>
      <c r="R35" s="277">
        <f>ROUND(R4+R15-R34,5)</f>
        <v>17361.53</v>
      </c>
      <c r="S35" s="274"/>
      <c r="T35" s="277">
        <f>ROUND(T4+T15-T34,5)</f>
        <v>59891</v>
      </c>
      <c r="U35" s="274"/>
      <c r="V35" s="277">
        <f>ROUND(V4+V15-V34,5)</f>
        <v>0</v>
      </c>
      <c r="W35" s="274"/>
      <c r="X35" s="277">
        <f>ROUND(X4+X15-X34,5)</f>
        <v>0</v>
      </c>
      <c r="Y35" s="274"/>
      <c r="Z35" s="277">
        <f>ROUND(Z4+Z15-Z34,5)</f>
        <v>0</v>
      </c>
      <c r="AA35" s="274"/>
      <c r="AB35" s="277">
        <f>ROUND(AB4+AB15-AB34,5)</f>
        <v>0</v>
      </c>
      <c r="AC35" s="274"/>
      <c r="AD35" s="277">
        <f>ROUND(AD4+AD15-AD34,5)</f>
        <v>0</v>
      </c>
      <c r="AE35" s="274"/>
      <c r="AF35" s="277">
        <f>ROUND(AF4+AF15-AF34,5)</f>
        <v>0</v>
      </c>
      <c r="AG35" s="274"/>
      <c r="AH35" s="277">
        <f>ROUND(AH4+AH15-AH34,5)</f>
        <v>0</v>
      </c>
      <c r="AI35" s="274"/>
      <c r="AJ35" s="277">
        <f>ROUND(AJ4+AJ15-AJ34,5)</f>
        <v>0</v>
      </c>
      <c r="AK35" s="274"/>
      <c r="AL35" s="277">
        <f>ROUND(AL4+AL15-AL34,5)</f>
        <v>-20781.41</v>
      </c>
      <c r="AM35" s="274"/>
      <c r="AN35" s="277">
        <f>ROUND(AN4+AN15-AN34,5)</f>
        <v>-91934</v>
      </c>
      <c r="AO35" s="274"/>
      <c r="AP35" s="277">
        <f t="shared" si="12"/>
        <v>-20781.41</v>
      </c>
      <c r="AQ35" s="274"/>
      <c r="AR35" s="277">
        <f t="shared" si="24"/>
        <v>-91934</v>
      </c>
      <c r="AS35" s="274"/>
      <c r="AT35" s="277">
        <f>ROUND(AT4+AT15-AT34,5)</f>
        <v>0</v>
      </c>
      <c r="AU35" s="274"/>
      <c r="AV35" s="277">
        <f>ROUND(AV4+AV15-AV34,5)</f>
        <v>0</v>
      </c>
      <c r="AW35" s="274"/>
      <c r="AX35" s="277">
        <f>ROUND(AX4+AX15-AX34,5)</f>
        <v>0</v>
      </c>
      <c r="AY35" s="274"/>
      <c r="AZ35" s="277">
        <f>ROUND(AZ4+AZ15-AZ34,5)</f>
        <v>0</v>
      </c>
      <c r="BA35" s="274"/>
      <c r="BB35" s="277">
        <f>ROUND(BB4+BB15-BB34,5)</f>
        <v>-25126.03</v>
      </c>
      <c r="BC35" s="274"/>
      <c r="BD35" s="277">
        <f>ROUND(BD4+BD15-BD34,5)</f>
        <v>-23521</v>
      </c>
      <c r="BE35" s="274"/>
      <c r="BF35" s="277">
        <f>ROUND(BF4+BF15-BF34,5)</f>
        <v>0</v>
      </c>
      <c r="BG35" s="274"/>
      <c r="BH35" s="277">
        <f>ROUND(BH4+BH15-BH34,5)</f>
        <v>0</v>
      </c>
      <c r="BI35" s="274"/>
      <c r="BJ35" s="277">
        <f t="shared" si="13"/>
        <v>-25126.03</v>
      </c>
      <c r="BK35" s="274"/>
      <c r="BL35" s="277">
        <f>ROUND(AV35+AZ35+BD35+BH35,5)</f>
        <v>-23521</v>
      </c>
      <c r="BM35" s="274"/>
      <c r="BN35" s="277">
        <f>ROUND(BN4+BN15-BN34,5)</f>
        <v>-87.5</v>
      </c>
      <c r="BO35" s="274"/>
      <c r="BP35" s="277">
        <f>ROUND(BP4+BP15-BP34,5)</f>
        <v>0</v>
      </c>
      <c r="BQ35" s="274"/>
      <c r="BR35" s="277">
        <f>ROUND(BR4+BR15-BR34,5)</f>
        <v>24518.75</v>
      </c>
      <c r="BS35" s="274"/>
      <c r="BT35" s="277">
        <f>ROUND(BT4+BT15-BT34,5)</f>
        <v>26404</v>
      </c>
      <c r="BU35" s="274"/>
      <c r="BV35" s="277">
        <f t="shared" si="14"/>
        <v>-694.78</v>
      </c>
      <c r="BW35" s="274"/>
      <c r="BX35" s="277">
        <f>ROUND(BL35+BP35+BT35,5)</f>
        <v>2883</v>
      </c>
      <c r="BY35" s="274"/>
      <c r="BZ35" s="277">
        <f>ROUND(BZ4+BZ15-BZ34,5)</f>
        <v>14545</v>
      </c>
      <c r="CA35" s="274"/>
      <c r="CB35" s="274"/>
      <c r="CC35" s="274"/>
      <c r="CD35" s="277">
        <f>ROUND(CD4+CD15-CD34,5)</f>
        <v>0</v>
      </c>
      <c r="CE35" s="274"/>
      <c r="CF35" s="277">
        <f>ROUND(CF4+CF15-CF34,5)</f>
        <v>0</v>
      </c>
      <c r="CG35" s="274"/>
      <c r="CH35" s="277">
        <f>ROUND(CH4+CH15-CH34,5)</f>
        <v>-17102.13</v>
      </c>
      <c r="CI35" s="274"/>
      <c r="CJ35" s="277">
        <f>ROUND(CJ4+CJ15-CJ34,5)</f>
        <v>-17554</v>
      </c>
      <c r="CK35" s="274"/>
      <c r="CL35" s="277">
        <f t="shared" si="15"/>
        <v>-17102.13</v>
      </c>
      <c r="CM35" s="274"/>
      <c r="CN35" s="277">
        <f t="shared" si="22"/>
        <v>-17554</v>
      </c>
      <c r="CO35" s="274"/>
      <c r="CP35" s="277">
        <f>ROUND(CP4+CP15-CP34,5)</f>
        <v>50000</v>
      </c>
      <c r="CQ35" s="274"/>
      <c r="CR35" s="274"/>
      <c r="CS35" s="274"/>
      <c r="CT35" s="277">
        <f t="shared" si="16"/>
        <v>25966.68</v>
      </c>
      <c r="CU35" s="274"/>
      <c r="CV35" s="277">
        <f t="shared" si="23"/>
        <v>-106605</v>
      </c>
      <c r="CW35" s="274"/>
      <c r="CX35" s="277">
        <f>ROUND(CX4+CX15-CX34,5)</f>
        <v>-133.47</v>
      </c>
      <c r="CY35" s="274"/>
      <c r="CZ35" s="274"/>
      <c r="DA35" s="274"/>
      <c r="DB35" s="277">
        <f t="shared" si="17"/>
        <v>35533.919999999998</v>
      </c>
      <c r="DC35" s="274"/>
      <c r="DD35" s="277">
        <f t="shared" si="18"/>
        <v>-101581</v>
      </c>
      <c r="DF35" s="377">
        <f t="shared" si="8"/>
        <v>31428</v>
      </c>
      <c r="DG35" s="390">
        <f t="shared" si="9"/>
        <v>-133009</v>
      </c>
      <c r="DH35" s="376">
        <f t="shared" si="10"/>
        <v>-101581</v>
      </c>
    </row>
    <row r="36" spans="1:112" s="279" customFormat="1" ht="15.75" thickBot="1" x14ac:dyDescent="0.3">
      <c r="A36" s="369" t="s">
        <v>160</v>
      </c>
      <c r="B36" s="369"/>
      <c r="C36" s="369"/>
      <c r="D36" s="369"/>
      <c r="E36" s="369"/>
      <c r="F36" s="278">
        <f>F35</f>
        <v>-4461.0200000000004</v>
      </c>
      <c r="G36" s="369"/>
      <c r="H36" s="278">
        <f>H35</f>
        <v>-26146</v>
      </c>
      <c r="I36" s="369"/>
      <c r="J36" s="278">
        <f>J35</f>
        <v>-3199.8</v>
      </c>
      <c r="K36" s="369"/>
      <c r="L36" s="278">
        <f>L35</f>
        <v>-28721</v>
      </c>
      <c r="M36" s="369"/>
      <c r="N36" s="278">
        <f t="shared" si="11"/>
        <v>-7660.82</v>
      </c>
      <c r="O36" s="369"/>
      <c r="P36" s="278">
        <f>ROUND(H36+L36,5)</f>
        <v>-54867</v>
      </c>
      <c r="Q36" s="369"/>
      <c r="R36" s="278">
        <f>R35</f>
        <v>17361.53</v>
      </c>
      <c r="S36" s="369"/>
      <c r="T36" s="278">
        <f>T35</f>
        <v>59891</v>
      </c>
      <c r="U36" s="369"/>
      <c r="V36" s="278">
        <f>V35</f>
        <v>0</v>
      </c>
      <c r="W36" s="369"/>
      <c r="X36" s="278">
        <f>X35</f>
        <v>0</v>
      </c>
      <c r="Y36" s="369"/>
      <c r="Z36" s="278">
        <f>Z35</f>
        <v>0</v>
      </c>
      <c r="AA36" s="369"/>
      <c r="AB36" s="278">
        <f>AB35</f>
        <v>0</v>
      </c>
      <c r="AC36" s="369"/>
      <c r="AD36" s="278">
        <f>AD35</f>
        <v>0</v>
      </c>
      <c r="AE36" s="369"/>
      <c r="AF36" s="278">
        <f>AF35</f>
        <v>0</v>
      </c>
      <c r="AG36" s="369"/>
      <c r="AH36" s="278">
        <f>AH35</f>
        <v>0</v>
      </c>
      <c r="AI36" s="369"/>
      <c r="AJ36" s="278">
        <f>AJ35</f>
        <v>0</v>
      </c>
      <c r="AK36" s="369"/>
      <c r="AL36" s="278">
        <f>AL35</f>
        <v>-20781.41</v>
      </c>
      <c r="AM36" s="369"/>
      <c r="AN36" s="278">
        <f>AN35</f>
        <v>-91934</v>
      </c>
      <c r="AO36" s="369"/>
      <c r="AP36" s="278">
        <f t="shared" si="12"/>
        <v>-20781.41</v>
      </c>
      <c r="AQ36" s="369"/>
      <c r="AR36" s="278">
        <f t="shared" si="24"/>
        <v>-91934</v>
      </c>
      <c r="AS36" s="369"/>
      <c r="AT36" s="278">
        <f>AT35</f>
        <v>0</v>
      </c>
      <c r="AU36" s="369"/>
      <c r="AV36" s="278">
        <f>AV35</f>
        <v>0</v>
      </c>
      <c r="AW36" s="369"/>
      <c r="AX36" s="278">
        <f>AX35</f>
        <v>0</v>
      </c>
      <c r="AY36" s="369"/>
      <c r="AZ36" s="278">
        <f>AZ35</f>
        <v>0</v>
      </c>
      <c r="BA36" s="369"/>
      <c r="BB36" s="278">
        <f>BB35</f>
        <v>-25126.03</v>
      </c>
      <c r="BC36" s="369"/>
      <c r="BD36" s="278">
        <f>BD35</f>
        <v>-23521</v>
      </c>
      <c r="BE36" s="369"/>
      <c r="BF36" s="278">
        <f>BF35</f>
        <v>0</v>
      </c>
      <c r="BG36" s="369"/>
      <c r="BH36" s="278">
        <f>BH35</f>
        <v>0</v>
      </c>
      <c r="BI36" s="369"/>
      <c r="BJ36" s="278">
        <f t="shared" si="13"/>
        <v>-25126.03</v>
      </c>
      <c r="BK36" s="369"/>
      <c r="BL36" s="278">
        <f>ROUND(AV36+AZ36+BD36+BH36,5)</f>
        <v>-23521</v>
      </c>
      <c r="BM36" s="369"/>
      <c r="BN36" s="278">
        <f>BN35</f>
        <v>-87.5</v>
      </c>
      <c r="BO36" s="369"/>
      <c r="BP36" s="278">
        <f>BP35</f>
        <v>0</v>
      </c>
      <c r="BQ36" s="369"/>
      <c r="BR36" s="278">
        <f>BR35</f>
        <v>24518.75</v>
      </c>
      <c r="BS36" s="369"/>
      <c r="BT36" s="278">
        <f>BT35</f>
        <v>26404</v>
      </c>
      <c r="BU36" s="369"/>
      <c r="BV36" s="278">
        <f t="shared" si="14"/>
        <v>-694.78</v>
      </c>
      <c r="BW36" s="369"/>
      <c r="BX36" s="278">
        <f>ROUND(BL36+BP36+BT36,5)</f>
        <v>2883</v>
      </c>
      <c r="BY36" s="369"/>
      <c r="BZ36" s="278">
        <f>BZ35</f>
        <v>14545</v>
      </c>
      <c r="CA36" s="369"/>
      <c r="CB36" s="369"/>
      <c r="CC36" s="369"/>
      <c r="CD36" s="278">
        <f>CD35</f>
        <v>0</v>
      </c>
      <c r="CE36" s="369"/>
      <c r="CF36" s="278">
        <f>CF35</f>
        <v>0</v>
      </c>
      <c r="CG36" s="369"/>
      <c r="CH36" s="278">
        <f>CH35</f>
        <v>-17102.13</v>
      </c>
      <c r="CI36" s="369"/>
      <c r="CJ36" s="278">
        <f>CJ35</f>
        <v>-17554</v>
      </c>
      <c r="CK36" s="369"/>
      <c r="CL36" s="278">
        <f t="shared" si="15"/>
        <v>-17102.13</v>
      </c>
      <c r="CM36" s="369"/>
      <c r="CN36" s="278">
        <f t="shared" si="22"/>
        <v>-17554</v>
      </c>
      <c r="CO36" s="369"/>
      <c r="CP36" s="278">
        <f>CP35</f>
        <v>50000</v>
      </c>
      <c r="CQ36" s="369"/>
      <c r="CR36" s="369"/>
      <c r="CS36" s="369"/>
      <c r="CT36" s="278">
        <f t="shared" si="16"/>
        <v>25966.68</v>
      </c>
      <c r="CU36" s="369"/>
      <c r="CV36" s="278">
        <f t="shared" si="23"/>
        <v>-106605</v>
      </c>
      <c r="CW36" s="369"/>
      <c r="CX36" s="278">
        <f>CX35</f>
        <v>-133.47</v>
      </c>
      <c r="CY36" s="369"/>
      <c r="CZ36" s="369"/>
      <c r="DA36" s="369"/>
      <c r="DB36" s="278">
        <f t="shared" si="17"/>
        <v>35533.919999999998</v>
      </c>
      <c r="DC36" s="369"/>
      <c r="DD36" s="278">
        <f t="shared" si="18"/>
        <v>-101581</v>
      </c>
      <c r="DF36" s="583">
        <f t="shared" si="8"/>
        <v>31428</v>
      </c>
      <c r="DG36" s="584">
        <f t="shared" si="9"/>
        <v>-133009</v>
      </c>
      <c r="DH36" s="585">
        <f t="shared" si="10"/>
        <v>-101581</v>
      </c>
    </row>
    <row r="37" spans="1:112" ht="15.75" thickTop="1" x14ac:dyDescent="0.25"/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2292" r:id="rId4" name="TextBox4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2292" r:id="rId4" name="TextBox4"/>
      </mc:Fallback>
    </mc:AlternateContent>
    <mc:AlternateContent xmlns:mc="http://schemas.openxmlformats.org/markup-compatibility/2006">
      <mc:Choice Requires="x14">
        <control shapeId="12291" r:id="rId6" name="TextBox3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2291" r:id="rId6" name="TextBox3"/>
      </mc:Fallback>
    </mc:AlternateContent>
    <mc:AlternateContent xmlns:mc="http://schemas.openxmlformats.org/markup-compatibility/2006">
      <mc:Choice Requires="x14">
        <control shapeId="12290" r:id="rId8" name="TextBox2">
          <controlPr defaultSize="0" autoLin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2290" r:id="rId8" name="TextBox2"/>
      </mc:Fallback>
    </mc:AlternateContent>
    <mc:AlternateContent xmlns:mc="http://schemas.openxmlformats.org/markup-compatibility/2006">
      <mc:Choice Requires="x14">
        <control shapeId="12289" r:id="rId10" name="TextBox1">
          <controlPr defaultSize="0" autoLine="0" r:id="rId1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2289" r:id="rId10" name="Text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Summary Reports</vt:lpstr>
      <vt:lpstr>LWVC Summary</vt:lpstr>
      <vt:lpstr>LWVC-Stmt of Act. by Class</vt:lpstr>
      <vt:lpstr>LWVC-Stmt of Act.byClassBudget</vt:lpstr>
      <vt:lpstr>LWVC-Stmt of Activities by Mth</vt:lpstr>
      <vt:lpstr>LWVC-Stmt of Fin. Postn. by Mth</vt:lpstr>
      <vt:lpstr>LWVCEF Summary</vt:lpstr>
      <vt:lpstr>LWVCEF-Stmt.of Act. By Class</vt:lpstr>
      <vt:lpstr>LWVCEF-StmtofActbyClasswBudget</vt:lpstr>
      <vt:lpstr>LWVCEF-Stmt. of Act. by Month</vt:lpstr>
      <vt:lpstr>LWVCEF-Stmt of Fin. Pos. by mth</vt:lpstr>
      <vt:lpstr>FASB117 </vt:lpstr>
      <vt:lpstr>'FASB117 '!Print_Area</vt:lpstr>
      <vt:lpstr>'FASB117 '!Print_Titles</vt:lpstr>
      <vt:lpstr>'LWVCEF-Stmt of Fin. Pos. by mth'!Print_Titles</vt:lpstr>
      <vt:lpstr>'LWVCEF-Stmt. of Act. by Month'!Print_Titles</vt:lpstr>
      <vt:lpstr>'LWVC-Stmt of Act. by Class'!Print_Titles</vt:lpstr>
      <vt:lpstr>'LWVC-Stmt of Activities by Mth'!Print_Titles</vt:lpstr>
      <vt:lpstr>'LWVC-Stmt of Fin. Postn. by Mth'!Print_Titles</vt:lpstr>
    </vt:vector>
  </TitlesOfParts>
  <Company>SCanfield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Canfield</dc:creator>
  <cp:lastModifiedBy>Jacquie</cp:lastModifiedBy>
  <cp:revision/>
  <dcterms:created xsi:type="dcterms:W3CDTF">2017-09-08T17:45:43Z</dcterms:created>
  <dcterms:modified xsi:type="dcterms:W3CDTF">2020-11-06T14:18:54Z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{E09BEB6E-A823-4FAC-B5E4-9F86D91FDA45}</vt:lpwstr>
  </property>
</Properties>
</file>